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865" windowHeight="8070" tabRatio="741" activeTab="0"/>
  </bookViews>
  <sheets>
    <sheet name="návrh 2016110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[0]!a</definedName>
    <definedName name="Assumptions" localSheetId="0">#REF!</definedName>
    <definedName name="Assumptions">#REF!</definedName>
    <definedName name="b">[0]!b</definedName>
    <definedName name="CALCULATIONS" localSheetId="0">#REF!</definedName>
    <definedName name="CALCULATIONS">#REF!</definedName>
    <definedName name="DBO_V_SPOTREBY" localSheetId="0">#REF!</definedName>
    <definedName name="DBO_V_SPOTREBY">#REF!</definedName>
    <definedName name="DBO_V_SPOTREBY_2" localSheetId="0">#REF!</definedName>
    <definedName name="DBO_V_SPOTREBY_2">#REF!</definedName>
    <definedName name="g">[0]!g</definedName>
    <definedName name="Language">'[2]Parameters'!$B$1</definedName>
    <definedName name="LANGUE">'[3]Parameters'!$B$1</definedName>
    <definedName name="maxland" localSheetId="0">#REF!</definedName>
    <definedName name="maxland">#REF!</definedName>
    <definedName name="Parameters" localSheetId="0">#REF!</definedName>
    <definedName name="Parameters">#REF!</definedName>
    <definedName name="podklad" localSheetId="0">#REF!</definedName>
    <definedName name="podklad">#REF!</definedName>
    <definedName name="s" localSheetId="0">#REF!</definedName>
    <definedName name="s">#REF!</definedName>
    <definedName name="sencount" hidden="1">1</definedName>
    <definedName name="SubDet" localSheetId="0">[4]!SubDet</definedName>
    <definedName name="SubDet">[4]!SubDet</definedName>
    <definedName name="Z_Nakl" localSheetId="0">[5]!Z_Nakl</definedName>
    <definedName name="Z_Nakl">[5]!Z_Nakl</definedName>
    <definedName name="zzbutt2">[0]!zzbutt2</definedName>
    <definedName name="zzbutt3">[0]!zzbutt3</definedName>
    <definedName name="zzz">[0]!zzz</definedName>
  </definedNames>
  <calcPr fullCalcOnLoad="1"/>
</workbook>
</file>

<file path=xl/comments1.xml><?xml version="1.0" encoding="utf-8"?>
<comments xmlns="http://schemas.openxmlformats.org/spreadsheetml/2006/main">
  <authors>
    <author>en</author>
    <author>ucetni3</author>
  </authors>
  <commentList>
    <comment ref="E39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2100-předaná voda Drahany, R-J, Knínice, Vanovice a V.Opat.
200-ost.tržby středisek</t>
        </r>
      </text>
    </comment>
    <comment ref="G39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1940-předaná voda Drahany, R-J, Knínice, Vanovice a V.Opat.
200-ost.tržby středisek</t>
        </r>
      </text>
    </comment>
    <comment ref="E101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250-ost.tržby
</t>
        </r>
      </text>
    </comment>
    <comment ref="G101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250-ost.tržby
</t>
        </r>
      </text>
    </comment>
    <comment ref="I39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1940-předaná voda Drahany, R-J, Knínice, Vanovice a V.Opat.
200-ost.tržby středisek</t>
        </r>
      </text>
    </comment>
    <comment ref="I101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1940-předaná voda Drahany, R-J, Knínice, Vanovice a V.Opat.
200-ost.tržby středisek</t>
        </r>
      </text>
    </comment>
    <comment ref="J95" authorId="1">
      <text>
        <r>
          <rPr>
            <b/>
            <sz val="9"/>
            <rFont val="Tahoma"/>
            <family val="2"/>
          </rPr>
          <t>ucetni3:</t>
        </r>
        <r>
          <rPr>
            <sz val="9"/>
            <rFont val="Tahoma"/>
            <family val="2"/>
          </rPr>
          <t xml:space="preserve">
2.834,40 elektrocentrála Sloup-Šošůvka</t>
        </r>
      </text>
    </comment>
    <comment ref="K105" authorId="1">
      <text>
        <r>
          <rPr>
            <b/>
            <sz val="9"/>
            <rFont val="Tahoma"/>
            <family val="2"/>
          </rPr>
          <t>ucetni3:</t>
        </r>
        <r>
          <rPr>
            <sz val="9"/>
            <rFont val="Tahoma"/>
            <family val="2"/>
          </rPr>
          <t xml:space="preserve">
360,8 srážkové vody
</t>
        </r>
      </text>
    </comment>
    <comment ref="M101" authorId="0">
      <text>
        <r>
          <rPr>
            <b/>
            <sz val="8"/>
            <rFont val="Tahoma"/>
            <family val="2"/>
          </rPr>
          <t>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250-ost.tržby
</t>
        </r>
      </text>
    </comment>
  </commentList>
</comments>
</file>

<file path=xl/sharedStrings.xml><?xml version="1.0" encoding="utf-8"?>
<sst xmlns="http://schemas.openxmlformats.org/spreadsheetml/2006/main" count="196" uniqueCount="95">
  <si>
    <t>Plán kalkulace ceny vodného</t>
  </si>
  <si>
    <t>na rok 2017</t>
  </si>
  <si>
    <t>Svazek vodovodů a kanalizací Blansko</t>
  </si>
  <si>
    <t>plán 2016</t>
  </si>
  <si>
    <t>1.</t>
  </si>
  <si>
    <t>Přímý materiál celkem</t>
  </si>
  <si>
    <t>a</t>
  </si>
  <si>
    <t>- chemikálie</t>
  </si>
  <si>
    <t>b</t>
  </si>
  <si>
    <t>- surová voda</t>
  </si>
  <si>
    <t>c</t>
  </si>
  <si>
    <t>- podzemní voda</t>
  </si>
  <si>
    <t>d</t>
  </si>
  <si>
    <t>- převzatá voda</t>
  </si>
  <si>
    <t>2.</t>
  </si>
  <si>
    <t>Přímé mzdy celkem</t>
  </si>
  <si>
    <t>3.</t>
  </si>
  <si>
    <t>Nájem infrastruktury</t>
  </si>
  <si>
    <t>4.</t>
  </si>
  <si>
    <t>Náklady spojené s infrastukturou</t>
  </si>
  <si>
    <t>- dodavatelská oprava a údržba (vč. opravy čerpadel)</t>
  </si>
  <si>
    <t>- vnitropodnikové náklady</t>
  </si>
  <si>
    <t>- materiál na opravu a udržování infrastruktury</t>
  </si>
  <si>
    <t>5.</t>
  </si>
  <si>
    <t>Jiné přímé náklady celkem</t>
  </si>
  <si>
    <t>- materiál na opravy a udržování provozního majetku</t>
  </si>
  <si>
    <t>- pomocný materiál, majetek v operativní evidenci</t>
  </si>
  <si>
    <t>- elektrická energie</t>
  </si>
  <si>
    <t>- plyn, teplo, jiné</t>
  </si>
  <si>
    <t>e</t>
  </si>
  <si>
    <t>- opravy a udržba provozního majetku (dodavatelská)</t>
  </si>
  <si>
    <t>f</t>
  </si>
  <si>
    <t>- likvidace odpadu</t>
  </si>
  <si>
    <t>g</t>
  </si>
  <si>
    <t>- služby externí</t>
  </si>
  <si>
    <t>h</t>
  </si>
  <si>
    <t>- pojištění z mezd</t>
  </si>
  <si>
    <t>i</t>
  </si>
  <si>
    <t>- daň, poplatky, pojištění a ostatní provozní náklady</t>
  </si>
  <si>
    <t>j</t>
  </si>
  <si>
    <t>- vodoměry</t>
  </si>
  <si>
    <t>k</t>
  </si>
  <si>
    <t>- odpisy</t>
  </si>
  <si>
    <t>l</t>
  </si>
  <si>
    <t>- dispečink</t>
  </si>
  <si>
    <t>m</t>
  </si>
  <si>
    <t>- osobní doprava</t>
  </si>
  <si>
    <t>n</t>
  </si>
  <si>
    <t>- laboratorní rozbory</t>
  </si>
  <si>
    <t>o</t>
  </si>
  <si>
    <t>- nákladní doprava a mechanismy (bagry,tl.vozy...)</t>
  </si>
  <si>
    <t>6.</t>
  </si>
  <si>
    <t>Přímé náklady celkem</t>
  </si>
  <si>
    <t>7.</t>
  </si>
  <si>
    <t>Výrobní režie</t>
  </si>
  <si>
    <t>8.</t>
  </si>
  <si>
    <t>Správní režie</t>
  </si>
  <si>
    <t>9.</t>
  </si>
  <si>
    <t>Zásobovací režie</t>
  </si>
  <si>
    <t>10.</t>
  </si>
  <si>
    <t>Úplné vlastní náklady</t>
  </si>
  <si>
    <t>11.</t>
  </si>
  <si>
    <t>Tržby středisek mimo vodné</t>
  </si>
  <si>
    <t>12.</t>
  </si>
  <si>
    <t>Náklady celkem  v tis. Kč</t>
  </si>
  <si>
    <t>13.</t>
  </si>
  <si>
    <t xml:space="preserve">Voda dodaná k fakturaci celkem v tis.m3 </t>
  </si>
  <si>
    <t>- z toho pro: obyvatelstvo</t>
  </si>
  <si>
    <t xml:space="preserve">                     ostatní</t>
  </si>
  <si>
    <t>14.</t>
  </si>
  <si>
    <t>Nákladová cena Kč/m3</t>
  </si>
  <si>
    <t>15.</t>
  </si>
  <si>
    <t>Prodejní cena bez DPH - obyvatelstvo Kč/m3</t>
  </si>
  <si>
    <t xml:space="preserve">                                       ostatní Kč/m3</t>
  </si>
  <si>
    <t>16.</t>
  </si>
  <si>
    <t>Zisk v ceně - obyvatelstvo Kč/m3</t>
  </si>
  <si>
    <t xml:space="preserve">                      ostatní Kč/m3</t>
  </si>
  <si>
    <t>17.</t>
  </si>
  <si>
    <t>Zisk celkem v %</t>
  </si>
  <si>
    <t>18.</t>
  </si>
  <si>
    <t>Zisk celkem v tis. Kč</t>
  </si>
  <si>
    <t>Vypracoval: Viktor Sedlák, obchodně-ekonomický náměstek</t>
  </si>
  <si>
    <t>Schválil: Ing. Petr Fiala, ředitel divize</t>
  </si>
  <si>
    <t>datum:</t>
  </si>
  <si>
    <t>Plán kalkulace ceny stočného</t>
  </si>
  <si>
    <t>plán 2017</t>
  </si>
  <si>
    <t>- vyčištěná voda</t>
  </si>
  <si>
    <t>- materiál na opravy a udržování infrastruktury</t>
  </si>
  <si>
    <t>- poplatky za vypouštění odpadních vod</t>
  </si>
  <si>
    <t>Tržby středisek (mimo stočné) (-)</t>
  </si>
  <si>
    <t xml:space="preserve">Voda odvedená k fakturaci celkem v tis.m3 </t>
  </si>
  <si>
    <t>rozdíl plán 2017-plán 2016</t>
  </si>
  <si>
    <t>listopad 2016</t>
  </si>
  <si>
    <t>OČSK 2016</t>
  </si>
  <si>
    <t xml:space="preserve">Varianta 0,59%_cena (V+S) 81,73 Kč/m3 (93,99 Kč/m3 vč. DPH), nárůst ceny +0,59% (v+0%, s+1,18%), nájem (V+S) 72.862,5 tis. Kč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</si>
</sst>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%"/>
    <numFmt numFmtId="166" formatCode="#\ ##0.0;\-#\ ##0.0"/>
    <numFmt numFmtId="167" formatCode="###\ ###\ ##0;\-###\ ###\ ##0;0"/>
    <numFmt numFmtId="168" formatCode="_ * #,##0_ ;_ * \-#,##0_ ;_ * &quot;-&quot;_ ;_ @_ "/>
    <numFmt numFmtId="169" formatCode="_ * #,##0.00_ ;_ * \-#,##0.00_ ;_ * &quot;-&quot;??_ ;_ @_ "/>
    <numFmt numFmtId="170" formatCode="_ &quot;Ke&quot;* #,##0_ ;_ &quot;Ke&quot;* \-#,##0_ ;_ &quot;Ke&quot;* &quot;-&quot;_ ;_ @_ "/>
    <numFmt numFmtId="171" formatCode="_ &quot;Ke&quot;* #,##0.00_ ;_ &quot;Ke&quot;* \-#,##0.00_ ;_ &quot;Ke&quot;* &quot;-&quot;??_ ;_ @_ "/>
    <numFmt numFmtId="172" formatCode="d/\ m\Řs\ˇ\c\ yyyy"/>
    <numFmt numFmtId="173" formatCode="#,##0.0"/>
    <numFmt numFmtId="174" formatCode="#,##0_ ;[Red]\-#,##0\ "/>
  </numFmts>
  <fonts count="74">
    <font>
      <sz val="10"/>
      <name val="Arial CE"/>
      <family val="0"/>
    </font>
    <font>
      <sz val="12"/>
      <color indexed="8"/>
      <name val="Times New Roman CE"/>
      <family val="2"/>
    </font>
    <font>
      <b/>
      <sz val="16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5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MS Sans Serif"/>
      <family val="2"/>
    </font>
    <font>
      <sz val="10"/>
      <color indexed="12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Times New Roman CE"/>
      <family val="2"/>
    </font>
    <font>
      <b/>
      <sz val="12"/>
      <color indexed="8"/>
      <name val="Times New Roman CE"/>
      <family val="2"/>
    </font>
    <font>
      <sz val="12"/>
      <color indexed="20"/>
      <name val="Times New Roman CE"/>
      <family val="2"/>
    </font>
    <font>
      <b/>
      <sz val="12"/>
      <color indexed="9"/>
      <name val="Times New Roman CE"/>
      <family val="2"/>
    </font>
    <font>
      <b/>
      <sz val="15"/>
      <color indexed="56"/>
      <name val="Times New Roman CE"/>
      <family val="2"/>
    </font>
    <font>
      <b/>
      <sz val="13"/>
      <color indexed="56"/>
      <name val="Times New Roman CE"/>
      <family val="2"/>
    </font>
    <font>
      <b/>
      <sz val="11"/>
      <color indexed="56"/>
      <name val="Times New Roman CE"/>
      <family val="2"/>
    </font>
    <font>
      <sz val="12"/>
      <color indexed="60"/>
      <name val="Times New Roman CE"/>
      <family val="2"/>
    </font>
    <font>
      <sz val="10"/>
      <color indexed="8"/>
      <name val="Arial"/>
      <family val="2"/>
    </font>
    <font>
      <sz val="12"/>
      <color indexed="52"/>
      <name val="Times New Roman CE"/>
      <family val="2"/>
    </font>
    <font>
      <sz val="12"/>
      <color indexed="17"/>
      <name val="Times New Roman CE"/>
      <family val="2"/>
    </font>
    <font>
      <sz val="12"/>
      <color indexed="10"/>
      <name val="Times New Roman CE"/>
      <family val="2"/>
    </font>
    <font>
      <sz val="12"/>
      <color indexed="62"/>
      <name val="Times New Roman CE"/>
      <family val="2"/>
    </font>
    <font>
      <b/>
      <sz val="12"/>
      <color indexed="52"/>
      <name val="Times New Roman CE"/>
      <family val="2"/>
    </font>
    <font>
      <b/>
      <sz val="12"/>
      <color indexed="63"/>
      <name val="Times New Roman CE"/>
      <family val="2"/>
    </font>
    <font>
      <i/>
      <sz val="12"/>
      <color indexed="23"/>
      <name val="Times New Roman CE"/>
      <family val="2"/>
    </font>
    <font>
      <sz val="11"/>
      <color indexed="10"/>
      <name val="Arial CE"/>
      <family val="2"/>
    </font>
    <font>
      <sz val="12"/>
      <color theme="1"/>
      <name val="Times New Roman CE"/>
      <family val="2"/>
    </font>
    <font>
      <sz val="12"/>
      <color theme="0"/>
      <name val="Times New Roman CE"/>
      <family val="2"/>
    </font>
    <font>
      <b/>
      <sz val="12"/>
      <color theme="1"/>
      <name val="Times New Roman CE"/>
      <family val="2"/>
    </font>
    <font>
      <sz val="12"/>
      <color rgb="FF9C0006"/>
      <name val="Times New Roman CE"/>
      <family val="2"/>
    </font>
    <font>
      <b/>
      <sz val="12"/>
      <color theme="0"/>
      <name val="Times New Roman CE"/>
      <family val="2"/>
    </font>
    <font>
      <b/>
      <sz val="15"/>
      <color theme="3"/>
      <name val="Times New Roman CE"/>
      <family val="2"/>
    </font>
    <font>
      <b/>
      <sz val="13"/>
      <color theme="3"/>
      <name val="Times New Roman CE"/>
      <family val="2"/>
    </font>
    <font>
      <b/>
      <sz val="11"/>
      <color theme="3"/>
      <name val="Times New Roman CE"/>
      <family val="2"/>
    </font>
    <font>
      <b/>
      <sz val="18"/>
      <color theme="3"/>
      <name val="Cambria"/>
      <family val="2"/>
    </font>
    <font>
      <sz val="12"/>
      <color rgb="FF9C6500"/>
      <name val="Times New Roman CE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FA7D00"/>
      <name val="Times New Roman CE"/>
      <family val="2"/>
    </font>
    <font>
      <sz val="12"/>
      <color rgb="FF006100"/>
      <name val="Times New Roman CE"/>
      <family val="2"/>
    </font>
    <font>
      <sz val="12"/>
      <color rgb="FFFF0000"/>
      <name val="Times New Roman CE"/>
      <family val="2"/>
    </font>
    <font>
      <sz val="12"/>
      <color rgb="FF3F3F76"/>
      <name val="Times New Roman CE"/>
      <family val="2"/>
    </font>
    <font>
      <b/>
      <sz val="12"/>
      <color rgb="FFFA7D00"/>
      <name val="Times New Roman CE"/>
      <family val="2"/>
    </font>
    <font>
      <b/>
      <sz val="12"/>
      <color rgb="FF3F3F3F"/>
      <name val="Times New Roman CE"/>
      <family val="2"/>
    </font>
    <font>
      <i/>
      <sz val="12"/>
      <color rgb="FF7F7F7F"/>
      <name val="Times New Roman CE"/>
      <family val="2"/>
    </font>
    <font>
      <sz val="11"/>
      <color rgb="FFFF0000"/>
      <name val="Arial CE"/>
      <family val="2"/>
    </font>
    <font>
      <b/>
      <sz val="8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15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1" fillId="0" borderId="1" applyFont="0" applyFill="0" applyBorder="0" applyAlignment="0" applyProtection="0"/>
    <xf numFmtId="9" fontId="11" fillId="0" borderId="1" applyFont="0" applyFill="0" applyBorder="0" applyAlignment="0" applyProtection="0"/>
    <xf numFmtId="166" fontId="12" fillId="0" borderId="2" applyFont="0" applyFill="0" applyBorder="0" applyAlignment="0" applyProtection="0"/>
    <xf numFmtId="4" fontId="0" fillId="0" borderId="1" applyFont="0" applyFill="0" applyBorder="0" applyAlignment="0" applyProtection="0"/>
    <xf numFmtId="167" fontId="12" fillId="0" borderId="2" applyFont="0" applyFill="0" applyBorder="0" applyAlignment="0" applyProtection="0"/>
    <xf numFmtId="0" fontId="0" fillId="0" borderId="0">
      <alignment/>
      <protection locked="0"/>
    </xf>
    <xf numFmtId="9" fontId="0" fillId="0" borderId="3" applyFont="0" applyFill="0" applyBorder="0" applyAlignment="0" applyProtection="0"/>
    <xf numFmtId="165" fontId="0" fillId="0" borderId="1" applyFont="0" applyFill="0" applyBorder="0" applyAlignment="0" applyProtection="0"/>
    <xf numFmtId="0" fontId="53" fillId="2" borderId="0" applyNumberFormat="0" applyBorder="0" applyAlignment="0" applyProtection="0"/>
    <xf numFmtId="0" fontId="13" fillId="3" borderId="0" applyNumberFormat="0" applyBorder="0" applyAlignment="0" applyProtection="0"/>
    <xf numFmtId="0" fontId="53" fillId="4" borderId="0" applyNumberFormat="0" applyBorder="0" applyAlignment="0" applyProtection="0"/>
    <xf numFmtId="0" fontId="13" fillId="5" borderId="0" applyNumberFormat="0" applyBorder="0" applyAlignment="0" applyProtection="0"/>
    <xf numFmtId="0" fontId="53" fillId="6" borderId="0" applyNumberFormat="0" applyBorder="0" applyAlignment="0" applyProtection="0"/>
    <xf numFmtId="0" fontId="13" fillId="7" borderId="0" applyNumberFormat="0" applyBorder="0" applyAlignment="0" applyProtection="0"/>
    <xf numFmtId="0" fontId="53" fillId="8" borderId="0" applyNumberFormat="0" applyBorder="0" applyAlignment="0" applyProtection="0"/>
    <xf numFmtId="0" fontId="13" fillId="9" borderId="0" applyNumberFormat="0" applyBorder="0" applyAlignment="0" applyProtection="0"/>
    <xf numFmtId="0" fontId="53" fillId="10" borderId="0" applyNumberFormat="0" applyBorder="0" applyAlignment="0" applyProtection="0"/>
    <xf numFmtId="0" fontId="13" fillId="11" borderId="0" applyNumberFormat="0" applyBorder="0" applyAlignment="0" applyProtection="0"/>
    <xf numFmtId="0" fontId="53" fillId="12" borderId="0" applyNumberFormat="0" applyBorder="0" applyAlignment="0" applyProtection="0"/>
    <xf numFmtId="0" fontId="13" fillId="13" borderId="0" applyNumberFormat="0" applyBorder="0" applyAlignment="0" applyProtection="0"/>
    <xf numFmtId="0" fontId="53" fillId="14" borderId="0" applyNumberFormat="0" applyBorder="0" applyAlignment="0" applyProtection="0"/>
    <xf numFmtId="0" fontId="13" fillId="15" borderId="0" applyNumberFormat="0" applyBorder="0" applyAlignment="0" applyProtection="0"/>
    <xf numFmtId="0" fontId="53" fillId="16" borderId="0" applyNumberFormat="0" applyBorder="0" applyAlignment="0" applyProtection="0"/>
    <xf numFmtId="0" fontId="13" fillId="17" borderId="0" applyNumberFormat="0" applyBorder="0" applyAlignment="0" applyProtection="0"/>
    <xf numFmtId="0" fontId="53" fillId="18" borderId="0" applyNumberFormat="0" applyBorder="0" applyAlignment="0" applyProtection="0"/>
    <xf numFmtId="0" fontId="13" fillId="19" borderId="0" applyNumberFormat="0" applyBorder="0" applyAlignment="0" applyProtection="0"/>
    <xf numFmtId="0" fontId="53" fillId="20" borderId="0" applyNumberFormat="0" applyBorder="0" applyAlignment="0" applyProtection="0"/>
    <xf numFmtId="0" fontId="13" fillId="9" borderId="0" applyNumberFormat="0" applyBorder="0" applyAlignment="0" applyProtection="0"/>
    <xf numFmtId="0" fontId="53" fillId="21" borderId="0" applyNumberFormat="0" applyBorder="0" applyAlignment="0" applyProtection="0"/>
    <xf numFmtId="0" fontId="13" fillId="15" borderId="0" applyNumberFormat="0" applyBorder="0" applyAlignment="0" applyProtection="0"/>
    <xf numFmtId="0" fontId="53" fillId="22" borderId="0" applyNumberFormat="0" applyBorder="0" applyAlignment="0" applyProtection="0"/>
    <xf numFmtId="0" fontId="13" fillId="23" borderId="0" applyNumberFormat="0" applyBorder="0" applyAlignment="0" applyProtection="0"/>
    <xf numFmtId="0" fontId="54" fillId="24" borderId="0" applyNumberFormat="0" applyBorder="0" applyAlignment="0" applyProtection="0"/>
    <xf numFmtId="0" fontId="14" fillId="25" borderId="0" applyNumberFormat="0" applyBorder="0" applyAlignment="0" applyProtection="0"/>
    <xf numFmtId="0" fontId="54" fillId="26" borderId="0" applyNumberFormat="0" applyBorder="0" applyAlignment="0" applyProtection="0"/>
    <xf numFmtId="0" fontId="14" fillId="17" borderId="0" applyNumberFormat="0" applyBorder="0" applyAlignment="0" applyProtection="0"/>
    <xf numFmtId="0" fontId="54" fillId="27" borderId="0" applyNumberFormat="0" applyBorder="0" applyAlignment="0" applyProtection="0"/>
    <xf numFmtId="0" fontId="14" fillId="19" borderId="0" applyNumberFormat="0" applyBorder="0" applyAlignment="0" applyProtection="0"/>
    <xf numFmtId="0" fontId="54" fillId="28" borderId="0" applyNumberFormat="0" applyBorder="0" applyAlignment="0" applyProtection="0"/>
    <xf numFmtId="0" fontId="14" fillId="29" borderId="0" applyNumberFormat="0" applyBorder="0" applyAlignment="0" applyProtection="0"/>
    <xf numFmtId="0" fontId="54" fillId="30" borderId="0" applyNumberFormat="0" applyBorder="0" applyAlignment="0" applyProtection="0"/>
    <xf numFmtId="0" fontId="14" fillId="31" borderId="0" applyNumberFormat="0" applyBorder="0" applyAlignment="0" applyProtection="0"/>
    <xf numFmtId="0" fontId="54" fillId="32" borderId="0" applyNumberFormat="0" applyBorder="0" applyAlignment="0" applyProtection="0"/>
    <xf numFmtId="0" fontId="14" fillId="33" borderId="0" applyNumberFormat="0" applyBorder="0" applyAlignment="0" applyProtection="0"/>
    <xf numFmtId="0" fontId="55" fillId="0" borderId="4" applyNumberFormat="0" applyFill="0" applyAlignment="0" applyProtection="0"/>
    <xf numFmtId="0" fontId="15" fillId="0" borderId="5" applyNumberFormat="0" applyFill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172" fontId="0" fillId="0" borderId="0">
      <alignment/>
      <protection locked="0"/>
    </xf>
    <xf numFmtId="0" fontId="56" fillId="34" borderId="0" applyNumberFormat="0" applyBorder="0" applyAlignment="0" applyProtection="0"/>
    <xf numFmtId="0" fontId="16" fillId="5" borderId="0" applyNumberFormat="0" applyBorder="0" applyAlignment="0" applyProtection="0"/>
    <xf numFmtId="0" fontId="57" fillId="35" borderId="6" applyNumberFormat="0" applyAlignment="0" applyProtection="0"/>
    <xf numFmtId="0" fontId="17" fillId="36" borderId="7" applyNumberFormat="0" applyAlignment="0" applyProtection="0"/>
    <xf numFmtId="0" fontId="0" fillId="0" borderId="8" applyNumberFormat="0" applyFill="0" applyBorder="0" applyAlignment="0" applyProtection="0"/>
    <xf numFmtId="0" fontId="0" fillId="0" borderId="0">
      <alignment/>
      <protection locked="0"/>
    </xf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0" borderId="13" applyNumberFormat="0" applyFill="0" applyAlignment="0" applyProtection="0"/>
    <xf numFmtId="0" fontId="2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2" applyNumberFormat="0" applyFill="0" applyAlignment="0" applyProtection="0"/>
    <xf numFmtId="0" fontId="12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 locked="0"/>
    </xf>
    <xf numFmtId="0" fontId="53" fillId="39" borderId="15" applyNumberFormat="0" applyFont="0" applyAlignment="0" applyProtection="0"/>
    <xf numFmtId="0" fontId="0" fillId="4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0" borderId="17" applyNumberFormat="0" applyFill="0" applyAlignment="0" applyProtection="0"/>
    <xf numFmtId="0" fontId="24" fillId="0" borderId="18" applyNumberFormat="0" applyFill="0" applyAlignment="0" applyProtection="0"/>
    <xf numFmtId="0" fontId="66" fillId="41" borderId="0" applyNumberFormat="0" applyBorder="0" applyAlignment="0" applyProtection="0"/>
    <xf numFmtId="0" fontId="25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Border="0" applyAlignment="0" applyProtection="0"/>
    <xf numFmtId="0" fontId="68" fillId="42" borderId="20" applyNumberFormat="0" applyAlignment="0" applyProtection="0"/>
    <xf numFmtId="0" fontId="28" fillId="13" borderId="21" applyNumberFormat="0" applyAlignment="0" applyProtection="0"/>
    <xf numFmtId="0" fontId="69" fillId="43" borderId="20" applyNumberFormat="0" applyAlignment="0" applyProtection="0"/>
    <xf numFmtId="0" fontId="29" fillId="44" borderId="21" applyNumberFormat="0" applyAlignment="0" applyProtection="0"/>
    <xf numFmtId="0" fontId="70" fillId="43" borderId="22" applyNumberFormat="0" applyAlignment="0" applyProtection="0"/>
    <xf numFmtId="0" fontId="30" fillId="44" borderId="23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2" fillId="0" borderId="0" applyFill="0" applyBorder="0" applyAlignment="0" applyProtection="0"/>
    <xf numFmtId="173" fontId="33" fillId="0" borderId="24" applyFill="0" applyBorder="0" applyProtection="0">
      <alignment/>
    </xf>
    <xf numFmtId="0" fontId="54" fillId="45" borderId="0" applyNumberFormat="0" applyBorder="0" applyAlignment="0" applyProtection="0"/>
    <xf numFmtId="0" fontId="14" fillId="46" borderId="0" applyNumberFormat="0" applyBorder="0" applyAlignment="0" applyProtection="0"/>
    <xf numFmtId="0" fontId="54" fillId="47" borderId="0" applyNumberFormat="0" applyBorder="0" applyAlignment="0" applyProtection="0"/>
    <xf numFmtId="0" fontId="14" fillId="48" borderId="0" applyNumberFormat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14" fillId="29" borderId="0" applyNumberFormat="0" applyBorder="0" applyAlignment="0" applyProtection="0"/>
    <xf numFmtId="0" fontId="54" fillId="52" borderId="0" applyNumberFormat="0" applyBorder="0" applyAlignment="0" applyProtection="0"/>
    <xf numFmtId="0" fontId="14" fillId="31" borderId="0" applyNumberFormat="0" applyBorder="0" applyAlignment="0" applyProtection="0"/>
    <xf numFmtId="0" fontId="54" fillId="53" borderId="0" applyNumberFormat="0" applyBorder="0" applyAlignment="0" applyProtection="0"/>
    <xf numFmtId="0" fontId="14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7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5" fillId="55" borderId="0" xfId="0" applyNumberFormat="1" applyFont="1" applyFill="1" applyAlignment="1" applyProtection="1">
      <alignment/>
      <protection locked="0"/>
    </xf>
    <xf numFmtId="0" fontId="4" fillId="0" borderId="25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 locked="0"/>
    </xf>
    <xf numFmtId="4" fontId="4" fillId="56" borderId="26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/>
      <protection locked="0"/>
    </xf>
    <xf numFmtId="4" fontId="4" fillId="56" borderId="28" xfId="0" applyNumberFormat="1" applyFont="1" applyFill="1" applyBorder="1" applyAlignment="1" applyProtection="1">
      <alignment/>
      <protection locked="0"/>
    </xf>
    <xf numFmtId="4" fontId="4" fillId="56" borderId="28" xfId="0" applyNumberFormat="1" applyFont="1" applyFill="1" applyBorder="1" applyAlignment="1" applyProtection="1">
      <alignment/>
      <protection/>
    </xf>
    <xf numFmtId="4" fontId="4" fillId="55" borderId="28" xfId="0" applyNumberFormat="1" applyFont="1" applyFill="1" applyBorder="1" applyAlignment="1" applyProtection="1">
      <alignment/>
      <protection/>
    </xf>
    <xf numFmtId="4" fontId="4" fillId="19" borderId="28" xfId="0" applyNumberFormat="1" applyFont="1" applyFill="1" applyBorder="1" applyAlignment="1" applyProtection="1">
      <alignment/>
      <protection/>
    </xf>
    <xf numFmtId="4" fontId="4" fillId="38" borderId="28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49" fontId="6" fillId="0" borderId="28" xfId="0" applyNumberFormat="1" applyFont="1" applyBorder="1" applyAlignment="1" applyProtection="1">
      <alignment/>
      <protection/>
    </xf>
    <xf numFmtId="4" fontId="6" fillId="0" borderId="28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" fontId="4" fillId="0" borderId="28" xfId="0" applyNumberFormat="1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/>
      <protection/>
    </xf>
    <xf numFmtId="4" fontId="6" fillId="0" borderId="30" xfId="0" applyNumberFormat="1" applyFont="1" applyBorder="1" applyAlignment="1" applyProtection="1">
      <alignment/>
      <protection locked="0"/>
    </xf>
    <xf numFmtId="10" fontId="6" fillId="0" borderId="30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5" fillId="0" borderId="32" xfId="0" applyNumberFormat="1" applyFont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/>
      <protection locked="0"/>
    </xf>
    <xf numFmtId="4" fontId="5" fillId="5" borderId="32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4" fillId="0" borderId="26" xfId="0" applyNumberFormat="1" applyFont="1" applyBorder="1" applyAlignment="1" applyProtection="1">
      <alignment/>
      <protection locked="0"/>
    </xf>
    <xf numFmtId="174" fontId="4" fillId="56" borderId="26" xfId="0" applyNumberFormat="1" applyFont="1" applyFill="1" applyBorder="1" applyAlignment="1" applyProtection="1">
      <alignment/>
      <protection/>
    </xf>
    <xf numFmtId="174" fontId="4" fillId="0" borderId="28" xfId="0" applyNumberFormat="1" applyFont="1" applyBorder="1" applyAlignment="1" applyProtection="1">
      <alignment/>
      <protection locked="0"/>
    </xf>
    <xf numFmtId="174" fontId="4" fillId="0" borderId="28" xfId="0" applyNumberFormat="1" applyFont="1" applyFill="1" applyBorder="1" applyAlignment="1" applyProtection="1">
      <alignment/>
      <protection locked="0"/>
    </xf>
    <xf numFmtId="174" fontId="4" fillId="56" borderId="28" xfId="0" applyNumberFormat="1" applyFont="1" applyFill="1" applyBorder="1" applyAlignment="1" applyProtection="1">
      <alignment/>
      <protection locked="0"/>
    </xf>
    <xf numFmtId="174" fontId="4" fillId="56" borderId="28" xfId="0" applyNumberFormat="1" applyFont="1" applyFill="1" applyBorder="1" applyAlignment="1" applyProtection="1">
      <alignment/>
      <protection/>
    </xf>
    <xf numFmtId="174" fontId="4" fillId="55" borderId="28" xfId="0" applyNumberFormat="1" applyFont="1" applyFill="1" applyBorder="1" applyAlignment="1" applyProtection="1">
      <alignment/>
      <protection/>
    </xf>
    <xf numFmtId="174" fontId="4" fillId="19" borderId="28" xfId="0" applyNumberFormat="1" applyFont="1" applyFill="1" applyBorder="1" applyAlignment="1" applyProtection="1">
      <alignment/>
      <protection/>
    </xf>
    <xf numFmtId="174" fontId="4" fillId="38" borderId="28" xfId="0" applyNumberFormat="1" applyFont="1" applyFill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 locked="0"/>
    </xf>
    <xf numFmtId="174" fontId="6" fillId="0" borderId="30" xfId="0" applyNumberFormat="1" applyFont="1" applyBorder="1" applyAlignment="1" applyProtection="1">
      <alignment/>
      <protection locked="0"/>
    </xf>
    <xf numFmtId="174" fontId="4" fillId="0" borderId="32" xfId="0" applyNumberFormat="1" applyFont="1" applyBorder="1" applyAlignment="1" applyProtection="1">
      <alignment/>
      <protection locked="0"/>
    </xf>
    <xf numFmtId="174" fontId="5" fillId="5" borderId="3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4" fontId="4" fillId="0" borderId="0" xfId="0" applyNumberFormat="1" applyFont="1" applyAlignment="1" applyProtection="1">
      <alignment vertical="center"/>
      <protection/>
    </xf>
    <xf numFmtId="0" fontId="0" fillId="0" borderId="33" xfId="0" applyBorder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9" fontId="3" fillId="0" borderId="0" xfId="116" applyFont="1" applyAlignment="1" applyProtection="1">
      <alignment horizontal="center"/>
      <protection/>
    </xf>
    <xf numFmtId="0" fontId="72" fillId="0" borderId="33" xfId="0" applyFont="1" applyBorder="1" applyAlignment="1" applyProtection="1">
      <alignment horizontal="center" vertical="center" wrapText="1"/>
      <protection/>
    </xf>
    <xf numFmtId="0" fontId="72" fillId="0" borderId="33" xfId="0" applyFont="1" applyBorder="1" applyAlignment="1" applyProtection="1">
      <alignment horizontal="left" vertical="center" wrapText="1"/>
      <protection/>
    </xf>
    <xf numFmtId="164" fontId="6" fillId="0" borderId="28" xfId="0" applyNumberFormat="1" applyFont="1" applyBorder="1" applyAlignment="1" applyProtection="1">
      <alignment/>
      <protection locked="0"/>
    </xf>
    <xf numFmtId="164" fontId="4" fillId="0" borderId="28" xfId="0" applyNumberFormat="1" applyFont="1" applyFill="1" applyBorder="1" applyAlignment="1" applyProtection="1">
      <alignment/>
      <protection/>
    </xf>
    <xf numFmtId="164" fontId="6" fillId="0" borderId="30" xfId="0" applyNumberFormat="1" applyFont="1" applyFill="1" applyBorder="1" applyAlignment="1" applyProtection="1">
      <alignment/>
      <protection/>
    </xf>
  </cellXfs>
  <cellStyles count="136">
    <cellStyle name="Normal" xfId="0"/>
    <cellStyle name="%[0.0]" xfId="15"/>
    <cellStyle name="%[0]" xfId="16"/>
    <cellStyle name="[0,0]" xfId="17"/>
    <cellStyle name="[0,00]" xfId="18"/>
    <cellStyle name="[0]" xfId="19"/>
    <cellStyle name="¬µrka" xfId="20"/>
    <cellStyle name="0%" xfId="21"/>
    <cellStyle name="0.0%" xfId="22"/>
    <cellStyle name="20 % – Zvýraznění1" xfId="23"/>
    <cellStyle name="20 % – Zvýraznění1 2" xfId="24"/>
    <cellStyle name="20 % – Zvýraznění2" xfId="25"/>
    <cellStyle name="20 % – Zvýraznění2 2" xfId="26"/>
    <cellStyle name="20 % – Zvýraznění3" xfId="27"/>
    <cellStyle name="20 % – Zvýraznění3 2" xfId="28"/>
    <cellStyle name="20 % – Zvýraznění4" xfId="29"/>
    <cellStyle name="20 % – Zvýraznění4 2" xfId="30"/>
    <cellStyle name="20 % – Zvýraznění5" xfId="31"/>
    <cellStyle name="20 % – Zvýraznění5 2" xfId="32"/>
    <cellStyle name="20 % – Zvýraznění6" xfId="33"/>
    <cellStyle name="20 % – Zvýraznění6 2" xfId="34"/>
    <cellStyle name="40 % – Zvýraznění1" xfId="35"/>
    <cellStyle name="40 % – Zvýraznění1 2" xfId="36"/>
    <cellStyle name="40 % – Zvýraznění2" xfId="37"/>
    <cellStyle name="40 % – Zvýraznění2 2" xfId="38"/>
    <cellStyle name="40 % – Zvýraznění3" xfId="39"/>
    <cellStyle name="40 % – Zvýraznění3 2" xfId="40"/>
    <cellStyle name="40 % – Zvýraznění4" xfId="41"/>
    <cellStyle name="40 % – Zvýraznění4 2" xfId="42"/>
    <cellStyle name="40 % – Zvýraznění5" xfId="43"/>
    <cellStyle name="40 % – Zvýraznění5 2" xfId="44"/>
    <cellStyle name="40 % – Zvýraznění6" xfId="45"/>
    <cellStyle name="40 % – Zvýraznění6 2" xfId="46"/>
    <cellStyle name="60 % – Zvýraznění1" xfId="47"/>
    <cellStyle name="60 % – Zvýraznění1 2" xfId="48"/>
    <cellStyle name="60 % – Zvýraznění2" xfId="49"/>
    <cellStyle name="60 % – Zvýraznění2 2" xfId="50"/>
    <cellStyle name="60 % – Zvýraznění3" xfId="51"/>
    <cellStyle name="60 % – Zvýraznění3 2" xfId="52"/>
    <cellStyle name="60 % – Zvýraznění4" xfId="53"/>
    <cellStyle name="60 % – Zvýraznění4 2" xfId="54"/>
    <cellStyle name="60 % – Zvýraznění5" xfId="55"/>
    <cellStyle name="60 % – Zvýraznění5 2" xfId="56"/>
    <cellStyle name="60 % – Zvýraznění6" xfId="57"/>
    <cellStyle name="60 % – Zvýraznění6 2" xfId="58"/>
    <cellStyle name="Celkem" xfId="59"/>
    <cellStyle name="Celkem 2" xfId="60"/>
    <cellStyle name="Comma [0]_Balance sheet template" xfId="61"/>
    <cellStyle name="Comma_Balance sheet template" xfId="62"/>
    <cellStyle name="Currency [0]_Balance sheet template" xfId="63"/>
    <cellStyle name="Currency_Balance sheet template" xfId="64"/>
    <cellStyle name="Comma" xfId="65"/>
    <cellStyle name="Comma [0]" xfId="66"/>
    <cellStyle name="Datum" xfId="67"/>
    <cellStyle name="Chybně" xfId="68"/>
    <cellStyle name="Chybně 2" xfId="69"/>
    <cellStyle name="Kontrolní buňka" xfId="70"/>
    <cellStyle name="Kontrolní buňka 2" xfId="71"/>
    <cellStyle name="Link" xfId="72"/>
    <cellStyle name="M·na" xfId="73"/>
    <cellStyle name="Currency" xfId="74"/>
    <cellStyle name="Currency [0]" xfId="75"/>
    <cellStyle name="Nadpis 1" xfId="76"/>
    <cellStyle name="Nadpis 1 2" xfId="77"/>
    <cellStyle name="Nadpis 2" xfId="78"/>
    <cellStyle name="Nadpis 2 2" xfId="79"/>
    <cellStyle name="Nadpis 3" xfId="80"/>
    <cellStyle name="Nadpis 3 2" xfId="81"/>
    <cellStyle name="Nadpis 4" xfId="82"/>
    <cellStyle name="Nadpis 4 2" xfId="83"/>
    <cellStyle name="Nadpis1" xfId="84"/>
    <cellStyle name="Nadpis2" xfId="85"/>
    <cellStyle name="Název" xfId="86"/>
    <cellStyle name="Název 2" xfId="87"/>
    <cellStyle name="Neutrální" xfId="88"/>
    <cellStyle name="Neutrální 2" xfId="89"/>
    <cellStyle name="New Titles" xfId="90"/>
    <cellStyle name="Normal_Balance sheet template" xfId="91"/>
    <cellStyle name="normální 2" xfId="92"/>
    <cellStyle name="normální 2 10" xfId="93"/>
    <cellStyle name="normální 2 2" xfId="94"/>
    <cellStyle name="normální 2 2 2" xfId="95"/>
    <cellStyle name="normální 2 2_ČOV Žďár" xfId="96"/>
    <cellStyle name="normální 2 3" xfId="97"/>
    <cellStyle name="normální 2 4" xfId="98"/>
    <cellStyle name="normální 2 5" xfId="99"/>
    <cellStyle name="normální 2 6" xfId="100"/>
    <cellStyle name="normální 2 7" xfId="101"/>
    <cellStyle name="normální 2 8" xfId="102"/>
    <cellStyle name="normální 2 9" xfId="103"/>
    <cellStyle name="normální 2_ČOV Žďár" xfId="104"/>
    <cellStyle name="normální 3" xfId="105"/>
    <cellStyle name="normální 3 2" xfId="106"/>
    <cellStyle name="normální 3_ČOV Žďár" xfId="107"/>
    <cellStyle name="normální 4" xfId="108"/>
    <cellStyle name="normální 4 2" xfId="109"/>
    <cellStyle name="normální 4 2 2 2" xfId="110"/>
    <cellStyle name="normální 5" xfId="111"/>
    <cellStyle name="normální 6" xfId="112"/>
    <cellStyle name="Pevní" xfId="113"/>
    <cellStyle name="Poznámka" xfId="114"/>
    <cellStyle name="Poznámka 2" xfId="115"/>
    <cellStyle name="Percent" xfId="116"/>
    <cellStyle name="procent 2" xfId="117"/>
    <cellStyle name="procent 3" xfId="118"/>
    <cellStyle name="procent 4" xfId="119"/>
    <cellStyle name="Procenta" xfId="120"/>
    <cellStyle name="Propojená buňka" xfId="121"/>
    <cellStyle name="Propojená buňka 2" xfId="122"/>
    <cellStyle name="Správně" xfId="123"/>
    <cellStyle name="Správně 2" xfId="124"/>
    <cellStyle name="Text upozornění" xfId="125"/>
    <cellStyle name="Text upozornění 2" xfId="126"/>
    <cellStyle name="Title" xfId="127"/>
    <cellStyle name="Vstup" xfId="128"/>
    <cellStyle name="Vstup 2" xfId="129"/>
    <cellStyle name="Výpočet" xfId="130"/>
    <cellStyle name="Výpočet 2" xfId="131"/>
    <cellStyle name="Výstup" xfId="132"/>
    <cellStyle name="Výstup 2" xfId="133"/>
    <cellStyle name="Vysvětlující text" xfId="134"/>
    <cellStyle name="Vysvětlující text 2" xfId="135"/>
    <cellStyle name="Zadano" xfId="136"/>
    <cellStyle name="Zadano 1 desetne" xfId="137"/>
    <cellStyle name="Zvýraznění 1" xfId="138"/>
    <cellStyle name="Zvýraznění 1 2" xfId="139"/>
    <cellStyle name="Zvýraznění 2" xfId="140"/>
    <cellStyle name="Zvýraznění 2 2" xfId="141"/>
    <cellStyle name="Zvýraznění 3" xfId="142"/>
    <cellStyle name="Zvýraznění 3 2" xfId="143"/>
    <cellStyle name="Zvýraznění 4" xfId="144"/>
    <cellStyle name="Zvýraznění 4 2" xfId="145"/>
    <cellStyle name="Zvýraznění 5" xfId="146"/>
    <cellStyle name="Zvýraznění 5 2" xfId="147"/>
    <cellStyle name="Zvýraznění 6" xfId="148"/>
    <cellStyle name="Zvýraznění 6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\Local%20Settings\Temporary%20Internet%20Files\Content.Outlook\H0NX8B0K\Podklady%20ke%20koment&#225;&#345;i%20ceny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OU\Kalkulace%202014\work\1999\TISK\report\VAS10.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OU\Kalkulace%202014\windows\TEMP\brez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OU\Kalkulace%202014\WINDOWS\PLOCHA\BANKA_GR\BAN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OU\Kalkulace%202014\WINDOWS\PROFILES\CHRAST\PLOCHA\BANKA\B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 20161012-0%"/>
      <sheetName val="návrh 20161012-1%"/>
      <sheetName val="graf20161012"/>
      <sheetName val="návrh 20161017-0%"/>
      <sheetName val="graf20161017-0%"/>
      <sheetName val="návrh 20161017-1%"/>
      <sheetName val="graf20161017-1%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PL"/>
      <sheetName val="Production"/>
      <sheetName val="Cash"/>
      <sheetName val="Debt"/>
      <sheetName val="Receiv"/>
      <sheetName val="Inv"/>
      <sheetName val="BS(n-1)"/>
      <sheetName val="BS(n)"/>
      <sheetName val="Funds R2"/>
      <sheetName val="BS R3"/>
      <sheetName val="Analysis"/>
      <sheetName val="Ctrl"/>
      <sheetName val="CtrlBS"/>
      <sheetName val="Graph"/>
      <sheetName val="Transfer BS"/>
    </sheetNames>
    <sheetDataSet>
      <sheetData sheetId="0">
        <row r="1">
          <cell r="B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PL"/>
      <sheetName val="Production"/>
      <sheetName val="Cash"/>
      <sheetName val="Receivables"/>
      <sheetName val="Invest"/>
      <sheetName val="Control"/>
      <sheetName val="Analysis"/>
      <sheetName val="Graph"/>
      <sheetName val="tit.list"/>
      <sheetName val="obsah"/>
      <sheetName val="komentář "/>
      <sheetName val="kr.list"/>
      <sheetName val="mzda vč.ř.pr"/>
      <sheetName val="mzda bez ř.pr"/>
      <sheetName val="hod.mzdy náp."/>
      <sheetName val="MP vč.ř.pr"/>
      <sheetName val="MP bez ř.pr"/>
      <sheetName val="členění mezd vč.ř.pr"/>
      <sheetName val="členění mezd bez ř.pr"/>
      <sheetName val="příplatky"/>
      <sheetName val="fyz.stav"/>
      <sheetName val="přep.stav"/>
      <sheetName val="říd.prac."/>
      <sheetName val="nem. kum"/>
      <sheetName val="1.Q.02"/>
      <sheetName val="2.Q.02"/>
      <sheetName val="3.Q.02"/>
      <sheetName val="1.Q.03"/>
      <sheetName val="2.Q.03"/>
      <sheetName val="3.Q.03"/>
      <sheetName val="1.Q.04"/>
      <sheetName val="2.Q.04"/>
      <sheetName val="3.Q.04"/>
      <sheetName val="List2"/>
      <sheetName val="příl. KS. č.6"/>
      <sheetName val="Příl. KS. č.8"/>
      <sheetName val="struktura  mezd"/>
    </sheetNames>
    <sheetDataSet>
      <sheetData sheetId="0">
        <row r="1">
          <cell r="B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#REF"/>
    </sheetNames>
    <definedNames>
      <definedName name="SubDe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#REF"/>
    </sheetNames>
    <definedNames>
      <definedName name="Z_Nak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8"/>
  <sheetViews>
    <sheetView showGridLines="0" tabSelected="1" zoomScale="75" zoomScaleNormal="75" zoomScalePageLayoutView="0" workbookViewId="0" topLeftCell="A79">
      <selection activeCell="S113" sqref="S113"/>
    </sheetView>
  </sheetViews>
  <sheetFormatPr defaultColWidth="9.00390625" defaultRowHeight="12.75"/>
  <cols>
    <col min="1" max="1" width="3.375" style="0" customWidth="1"/>
    <col min="2" max="2" width="6.625" style="0" customWidth="1"/>
    <col min="3" max="3" width="52.75390625" style="40" bestFit="1" customWidth="1"/>
    <col min="4" max="9" width="13.375" style="39" customWidth="1"/>
    <col min="10" max="10" width="0" style="0" hidden="1" customWidth="1"/>
    <col min="11" max="11" width="11.25390625" style="0" hidden="1" customWidth="1"/>
    <col min="12" max="12" width="0" style="0" hidden="1" customWidth="1"/>
    <col min="13" max="13" width="12.125" style="0" hidden="1" customWidth="1"/>
    <col min="14" max="14" width="0" style="0" hidden="1" customWidth="1"/>
  </cols>
  <sheetData>
    <row r="1" spans="1:9" ht="20.25">
      <c r="A1" s="1"/>
      <c r="B1" s="57" t="s">
        <v>0</v>
      </c>
      <c r="C1" s="57"/>
      <c r="D1" s="57"/>
      <c r="E1" s="57"/>
      <c r="F1"/>
      <c r="G1"/>
      <c r="H1"/>
      <c r="I1"/>
    </row>
    <row r="2" spans="1:9" ht="16.5" customHeight="1">
      <c r="A2" s="1"/>
      <c r="B2" s="58" t="s">
        <v>1</v>
      </c>
      <c r="C2" s="58"/>
      <c r="D2" s="58"/>
      <c r="E2" s="58"/>
      <c r="F2"/>
      <c r="G2"/>
      <c r="H2"/>
      <c r="I2"/>
    </row>
    <row r="3" spans="1:9" ht="18" customHeight="1">
      <c r="A3" s="2"/>
      <c r="B3" s="2"/>
      <c r="C3" s="3"/>
      <c r="D3" s="4"/>
      <c r="E3" s="4"/>
      <c r="F3" s="4"/>
      <c r="G3" s="4"/>
      <c r="H3" s="4"/>
      <c r="I3" s="4"/>
    </row>
    <row r="4" spans="1:9" ht="18" customHeight="1">
      <c r="A4" s="2"/>
      <c r="B4" s="2"/>
      <c r="C4" s="5"/>
      <c r="D4" s="4"/>
      <c r="E4" s="4"/>
      <c r="F4" s="4"/>
      <c r="G4" s="4"/>
      <c r="H4" s="4"/>
      <c r="I4" s="4"/>
    </row>
    <row r="5" spans="1:9" ht="18" customHeight="1">
      <c r="A5" s="2"/>
      <c r="B5" s="2"/>
      <c r="C5" s="6" t="s">
        <v>2</v>
      </c>
      <c r="D5" s="4"/>
      <c r="E5" s="4"/>
      <c r="F5" s="4"/>
      <c r="G5" s="4"/>
      <c r="H5" s="4"/>
      <c r="I5" s="4"/>
    </row>
    <row r="6" spans="1:9" ht="59.25" customHeight="1" thickBot="1">
      <c r="A6" s="2"/>
      <c r="B6" s="60" t="s">
        <v>94</v>
      </c>
      <c r="C6" s="60"/>
      <c r="D6" t="s">
        <v>85</v>
      </c>
      <c r="E6" t="s">
        <v>85</v>
      </c>
      <c r="F6" t="s">
        <v>3</v>
      </c>
      <c r="G6" t="s">
        <v>3</v>
      </c>
      <c r="H6" s="56" t="s">
        <v>91</v>
      </c>
      <c r="I6" s="56"/>
    </row>
    <row r="7" spans="1:9" ht="18" customHeight="1">
      <c r="A7" s="2"/>
      <c r="B7" s="7" t="s">
        <v>4</v>
      </c>
      <c r="C7" s="8" t="s">
        <v>5</v>
      </c>
      <c r="D7" s="9"/>
      <c r="E7" s="10">
        <f>SUM(E8:E11)</f>
        <v>9015</v>
      </c>
      <c r="F7" s="9"/>
      <c r="G7" s="10">
        <f>SUM(G8:G11)</f>
        <v>9260</v>
      </c>
      <c r="H7" s="41"/>
      <c r="I7" s="42">
        <f>E7-G7</f>
        <v>-245</v>
      </c>
    </row>
    <row r="8" spans="1:9" ht="18" customHeight="1">
      <c r="A8" s="2"/>
      <c r="B8" s="11" t="s">
        <v>6</v>
      </c>
      <c r="C8" s="12" t="s">
        <v>7</v>
      </c>
      <c r="D8" s="13"/>
      <c r="E8" s="13">
        <v>115</v>
      </c>
      <c r="F8" s="13"/>
      <c r="G8" s="13">
        <v>110</v>
      </c>
      <c r="H8" s="43"/>
      <c r="I8" s="43">
        <f aca="true" t="shared" si="0" ref="H8:I50">E8-G8</f>
        <v>5</v>
      </c>
    </row>
    <row r="9" spans="1:9" ht="18" customHeight="1">
      <c r="A9" s="2"/>
      <c r="B9" s="11" t="s">
        <v>8</v>
      </c>
      <c r="C9" s="12" t="s">
        <v>9</v>
      </c>
      <c r="D9" s="13"/>
      <c r="E9" s="13"/>
      <c r="F9" s="13"/>
      <c r="G9" s="13"/>
      <c r="H9" s="43"/>
      <c r="I9" s="43">
        <f t="shared" si="0"/>
        <v>0</v>
      </c>
    </row>
    <row r="10" spans="1:9" ht="18" customHeight="1">
      <c r="A10" s="2"/>
      <c r="B10" s="11" t="s">
        <v>10</v>
      </c>
      <c r="C10" s="12" t="s">
        <v>11</v>
      </c>
      <c r="D10" s="13"/>
      <c r="E10" s="13">
        <v>8400</v>
      </c>
      <c r="F10" s="13"/>
      <c r="G10" s="13">
        <v>8700</v>
      </c>
      <c r="H10" s="43"/>
      <c r="I10" s="43">
        <f t="shared" si="0"/>
        <v>-300</v>
      </c>
    </row>
    <row r="11" spans="1:9" ht="18" customHeight="1">
      <c r="A11" s="2"/>
      <c r="B11" s="11" t="s">
        <v>12</v>
      </c>
      <c r="C11" s="12" t="s">
        <v>13</v>
      </c>
      <c r="D11" s="13"/>
      <c r="E11" s="13">
        <v>500</v>
      </c>
      <c r="F11" s="13"/>
      <c r="G11" s="13">
        <v>450</v>
      </c>
      <c r="H11" s="43"/>
      <c r="I11" s="43">
        <f t="shared" si="0"/>
        <v>50</v>
      </c>
    </row>
    <row r="12" spans="1:9" ht="18" customHeight="1">
      <c r="A12" s="2"/>
      <c r="B12" s="14" t="s">
        <v>14</v>
      </c>
      <c r="C12" s="12" t="s">
        <v>15</v>
      </c>
      <c r="D12" s="15">
        <v>12200</v>
      </c>
      <c r="E12" s="16">
        <v>1300</v>
      </c>
      <c r="F12" s="15">
        <v>12000</v>
      </c>
      <c r="G12" s="16">
        <v>1200</v>
      </c>
      <c r="H12" s="44">
        <f t="shared" si="0"/>
        <v>200</v>
      </c>
      <c r="I12" s="45">
        <f t="shared" si="0"/>
        <v>100</v>
      </c>
    </row>
    <row r="13" spans="1:9" ht="18" customHeight="1">
      <c r="A13" s="2"/>
      <c r="B13" s="14" t="s">
        <v>16</v>
      </c>
      <c r="C13" s="12" t="s">
        <v>17</v>
      </c>
      <c r="D13" s="13"/>
      <c r="E13" s="16">
        <v>24826.5</v>
      </c>
      <c r="F13" s="13"/>
      <c r="G13" s="16">
        <f>17627.5+3000+800</f>
        <v>21427.5</v>
      </c>
      <c r="H13" s="44">
        <f t="shared" si="0"/>
        <v>0</v>
      </c>
      <c r="I13" s="45">
        <f t="shared" si="0"/>
        <v>3399</v>
      </c>
    </row>
    <row r="14" spans="1:9" ht="18" customHeight="1">
      <c r="A14" s="2"/>
      <c r="B14" s="14" t="s">
        <v>18</v>
      </c>
      <c r="C14" s="12" t="s">
        <v>19</v>
      </c>
      <c r="D14" s="13"/>
      <c r="E14" s="17">
        <f>SUM(E15:E17)</f>
        <v>41500</v>
      </c>
      <c r="F14" s="13"/>
      <c r="G14" s="17">
        <f>SUM(G15:G17)</f>
        <v>40612</v>
      </c>
      <c r="H14" s="44">
        <f t="shared" si="0"/>
        <v>0</v>
      </c>
      <c r="I14" s="46">
        <f t="shared" si="0"/>
        <v>888</v>
      </c>
    </row>
    <row r="15" spans="1:9" ht="18" customHeight="1">
      <c r="A15" s="2"/>
      <c r="B15" s="11" t="s">
        <v>6</v>
      </c>
      <c r="C15" s="12" t="s">
        <v>20</v>
      </c>
      <c r="D15" s="13"/>
      <c r="E15" s="13">
        <f>10900-2200</f>
        <v>8700</v>
      </c>
      <c r="F15" s="13"/>
      <c r="G15" s="13">
        <v>8300</v>
      </c>
      <c r="H15" s="44">
        <f t="shared" si="0"/>
        <v>0</v>
      </c>
      <c r="I15" s="43">
        <f t="shared" si="0"/>
        <v>400</v>
      </c>
    </row>
    <row r="16" spans="1:9" ht="18" customHeight="1">
      <c r="A16" s="2"/>
      <c r="B16" s="11" t="s">
        <v>8</v>
      </c>
      <c r="C16" s="12" t="s">
        <v>21</v>
      </c>
      <c r="D16" s="13"/>
      <c r="E16" s="18">
        <f>D12+D26+D31+D33+D24</f>
        <v>22500</v>
      </c>
      <c r="F16" s="13"/>
      <c r="G16" s="18">
        <f>F12+F26+F31+F33+F24</f>
        <v>22012</v>
      </c>
      <c r="H16" s="44">
        <f t="shared" si="0"/>
        <v>0</v>
      </c>
      <c r="I16" s="47">
        <f t="shared" si="0"/>
        <v>488</v>
      </c>
    </row>
    <row r="17" spans="1:9" ht="18" customHeight="1">
      <c r="A17" s="2"/>
      <c r="B17" s="11" t="s">
        <v>10</v>
      </c>
      <c r="C17" s="12" t="s">
        <v>22</v>
      </c>
      <c r="D17" s="13"/>
      <c r="E17" s="13">
        <f>11100-800</f>
        <v>10300</v>
      </c>
      <c r="F17" s="13"/>
      <c r="G17" s="13">
        <f>11100-800</f>
        <v>10300</v>
      </c>
      <c r="H17" s="44">
        <f t="shared" si="0"/>
        <v>0</v>
      </c>
      <c r="I17" s="43">
        <f t="shared" si="0"/>
        <v>0</v>
      </c>
    </row>
    <row r="18" spans="1:9" ht="18" customHeight="1">
      <c r="A18" s="2"/>
      <c r="B18" s="14" t="s">
        <v>23</v>
      </c>
      <c r="C18" s="12" t="s">
        <v>24</v>
      </c>
      <c r="D18" s="13"/>
      <c r="E18" s="17">
        <f>SUM(E19:E33)</f>
        <v>18782</v>
      </c>
      <c r="F18" s="13"/>
      <c r="G18" s="17">
        <f>SUM(G19:G33)</f>
        <v>19230</v>
      </c>
      <c r="H18" s="44">
        <f t="shared" si="0"/>
        <v>0</v>
      </c>
      <c r="I18" s="46">
        <f t="shared" si="0"/>
        <v>-448</v>
      </c>
    </row>
    <row r="19" spans="1:9" ht="18" customHeight="1">
      <c r="A19" s="2"/>
      <c r="B19" s="11" t="s">
        <v>6</v>
      </c>
      <c r="C19" s="12" t="s">
        <v>25</v>
      </c>
      <c r="D19" s="13"/>
      <c r="E19" s="13">
        <v>16</v>
      </c>
      <c r="F19" s="13"/>
      <c r="G19" s="13">
        <v>20</v>
      </c>
      <c r="H19" s="44">
        <f t="shared" si="0"/>
        <v>0</v>
      </c>
      <c r="I19" s="43">
        <f t="shared" si="0"/>
        <v>-4</v>
      </c>
    </row>
    <row r="20" spans="1:9" ht="18" customHeight="1">
      <c r="A20" s="2"/>
      <c r="B20" s="11" t="s">
        <v>8</v>
      </c>
      <c r="C20" s="12" t="s">
        <v>26</v>
      </c>
      <c r="D20" s="13"/>
      <c r="E20" s="13">
        <v>50</v>
      </c>
      <c r="F20" s="13"/>
      <c r="G20" s="13">
        <v>50</v>
      </c>
      <c r="H20" s="44">
        <f t="shared" si="0"/>
        <v>0</v>
      </c>
      <c r="I20" s="43">
        <f t="shared" si="0"/>
        <v>0</v>
      </c>
    </row>
    <row r="21" spans="1:9" ht="18" customHeight="1">
      <c r="A21" s="2"/>
      <c r="B21" s="11" t="s">
        <v>10</v>
      </c>
      <c r="C21" s="12" t="s">
        <v>27</v>
      </c>
      <c r="D21" s="13"/>
      <c r="E21" s="13">
        <v>7700</v>
      </c>
      <c r="F21" s="13"/>
      <c r="G21" s="13">
        <v>8500</v>
      </c>
      <c r="H21" s="44">
        <f t="shared" si="0"/>
        <v>0</v>
      </c>
      <c r="I21" s="43">
        <f t="shared" si="0"/>
        <v>-800</v>
      </c>
    </row>
    <row r="22" spans="1:9" ht="18" customHeight="1">
      <c r="A22" s="2"/>
      <c r="B22" s="11" t="s">
        <v>12</v>
      </c>
      <c r="C22" s="12" t="s">
        <v>28</v>
      </c>
      <c r="D22" s="13"/>
      <c r="E22" s="13">
        <v>150</v>
      </c>
      <c r="F22" s="13"/>
      <c r="G22" s="13">
        <v>150</v>
      </c>
      <c r="H22" s="44">
        <f t="shared" si="0"/>
        <v>0</v>
      </c>
      <c r="I22" s="43">
        <f t="shared" si="0"/>
        <v>0</v>
      </c>
    </row>
    <row r="23" spans="1:9" ht="18" customHeight="1">
      <c r="A23" s="2"/>
      <c r="B23" s="11" t="s">
        <v>29</v>
      </c>
      <c r="C23" s="12" t="s">
        <v>30</v>
      </c>
      <c r="D23" s="13"/>
      <c r="E23" s="13">
        <v>140</v>
      </c>
      <c r="F23" s="13"/>
      <c r="G23" s="13">
        <v>140</v>
      </c>
      <c r="H23" s="44">
        <f t="shared" si="0"/>
        <v>0</v>
      </c>
      <c r="I23" s="43">
        <f t="shared" si="0"/>
        <v>0</v>
      </c>
    </row>
    <row r="24" spans="1:9" ht="18" customHeight="1">
      <c r="A24" s="2"/>
      <c r="B24" s="11" t="s">
        <v>31</v>
      </c>
      <c r="C24" s="12" t="s">
        <v>32</v>
      </c>
      <c r="D24" s="13"/>
      <c r="E24" s="13">
        <v>0</v>
      </c>
      <c r="F24" s="13"/>
      <c r="G24" s="13">
        <v>0</v>
      </c>
      <c r="H24" s="44">
        <f t="shared" si="0"/>
        <v>0</v>
      </c>
      <c r="I24" s="43">
        <f t="shared" si="0"/>
        <v>0</v>
      </c>
    </row>
    <row r="25" spans="1:9" ht="18" customHeight="1">
      <c r="A25" s="2"/>
      <c r="B25" s="11" t="s">
        <v>33</v>
      </c>
      <c r="C25" s="12" t="s">
        <v>34</v>
      </c>
      <c r="D25" s="13"/>
      <c r="E25" s="13">
        <v>500</v>
      </c>
      <c r="F25" s="13"/>
      <c r="G25" s="13">
        <v>500</v>
      </c>
      <c r="H25" s="44">
        <f t="shared" si="0"/>
        <v>0</v>
      </c>
      <c r="I25" s="43">
        <f t="shared" si="0"/>
        <v>0</v>
      </c>
    </row>
    <row r="26" spans="1:9" ht="18" customHeight="1">
      <c r="A26" s="2"/>
      <c r="B26" s="11" t="s">
        <v>35</v>
      </c>
      <c r="C26" s="12" t="s">
        <v>36</v>
      </c>
      <c r="D26" s="13">
        <v>4150</v>
      </c>
      <c r="E26" s="13">
        <v>180</v>
      </c>
      <c r="F26" s="13">
        <v>4082</v>
      </c>
      <c r="G26" s="13">
        <v>104</v>
      </c>
      <c r="H26" s="44">
        <f t="shared" si="0"/>
        <v>68</v>
      </c>
      <c r="I26" s="43">
        <f t="shared" si="0"/>
        <v>76</v>
      </c>
    </row>
    <row r="27" spans="1:9" ht="18" customHeight="1">
      <c r="A27" s="2"/>
      <c r="B27" s="11" t="s">
        <v>37</v>
      </c>
      <c r="C27" s="12" t="s">
        <v>38</v>
      </c>
      <c r="D27" s="13"/>
      <c r="E27" s="13">
        <v>80</v>
      </c>
      <c r="F27" s="13"/>
      <c r="G27" s="13">
        <v>80</v>
      </c>
      <c r="H27" s="44">
        <f t="shared" si="0"/>
        <v>0</v>
      </c>
      <c r="I27" s="43">
        <f t="shared" si="0"/>
        <v>0</v>
      </c>
    </row>
    <row r="28" spans="1:9" ht="18" customHeight="1">
      <c r="A28" s="2"/>
      <c r="B28" s="11" t="s">
        <v>39</v>
      </c>
      <c r="C28" s="12" t="s">
        <v>40</v>
      </c>
      <c r="D28" s="13"/>
      <c r="E28" s="13">
        <v>2100</v>
      </c>
      <c r="F28" s="13"/>
      <c r="G28" s="13">
        <v>2020</v>
      </c>
      <c r="H28" s="44">
        <f t="shared" si="0"/>
        <v>0</v>
      </c>
      <c r="I28" s="43">
        <f t="shared" si="0"/>
        <v>80</v>
      </c>
    </row>
    <row r="29" spans="1:9" ht="18" customHeight="1">
      <c r="A29" s="2"/>
      <c r="B29" s="11" t="s">
        <v>41</v>
      </c>
      <c r="C29" s="12" t="s">
        <v>42</v>
      </c>
      <c r="D29" s="13"/>
      <c r="E29" s="13">
        <v>116</v>
      </c>
      <c r="F29" s="13"/>
      <c r="G29" s="13">
        <v>116</v>
      </c>
      <c r="H29" s="44">
        <f t="shared" si="0"/>
        <v>0</v>
      </c>
      <c r="I29" s="43">
        <f t="shared" si="0"/>
        <v>0</v>
      </c>
    </row>
    <row r="30" spans="1:9" ht="18" customHeight="1">
      <c r="A30" s="2"/>
      <c r="B30" s="11" t="s">
        <v>43</v>
      </c>
      <c r="C30" s="12" t="s">
        <v>44</v>
      </c>
      <c r="D30" s="13"/>
      <c r="E30" s="13">
        <v>4400</v>
      </c>
      <c r="F30" s="13"/>
      <c r="G30" s="13">
        <v>4300</v>
      </c>
      <c r="H30" s="44">
        <f t="shared" si="0"/>
        <v>0</v>
      </c>
      <c r="I30" s="43">
        <f t="shared" si="0"/>
        <v>100</v>
      </c>
    </row>
    <row r="31" spans="1:9" ht="18" customHeight="1">
      <c r="A31" s="2"/>
      <c r="B31" s="11" t="s">
        <v>45</v>
      </c>
      <c r="C31" s="12" t="s">
        <v>46</v>
      </c>
      <c r="D31" s="15">
        <v>2700</v>
      </c>
      <c r="E31" s="13"/>
      <c r="F31" s="15">
        <v>2600</v>
      </c>
      <c r="G31" s="13"/>
      <c r="H31" s="44">
        <f t="shared" si="0"/>
        <v>100</v>
      </c>
      <c r="I31" s="43">
        <f t="shared" si="0"/>
        <v>0</v>
      </c>
    </row>
    <row r="32" spans="1:9" ht="18" customHeight="1">
      <c r="A32" s="2"/>
      <c r="B32" s="11" t="s">
        <v>47</v>
      </c>
      <c r="C32" s="12" t="s">
        <v>48</v>
      </c>
      <c r="D32" s="13"/>
      <c r="E32" s="13">
        <v>3350</v>
      </c>
      <c r="F32" s="13"/>
      <c r="G32" s="13">
        <v>3250</v>
      </c>
      <c r="H32" s="44">
        <f t="shared" si="0"/>
        <v>0</v>
      </c>
      <c r="I32" s="43">
        <f t="shared" si="0"/>
        <v>100</v>
      </c>
    </row>
    <row r="33" spans="1:9" ht="18" customHeight="1">
      <c r="A33" s="2"/>
      <c r="B33" s="11" t="s">
        <v>49</v>
      </c>
      <c r="C33" s="12" t="s">
        <v>50</v>
      </c>
      <c r="D33" s="15">
        <v>3450</v>
      </c>
      <c r="E33" s="13"/>
      <c r="F33" s="15">
        <v>3330</v>
      </c>
      <c r="G33" s="13"/>
      <c r="H33" s="44">
        <f t="shared" si="0"/>
        <v>120</v>
      </c>
      <c r="I33" s="43">
        <f t="shared" si="0"/>
        <v>0</v>
      </c>
    </row>
    <row r="34" spans="1:9" ht="18" customHeight="1">
      <c r="A34" s="2"/>
      <c r="B34" s="14" t="s">
        <v>51</v>
      </c>
      <c r="C34" s="12" t="s">
        <v>52</v>
      </c>
      <c r="D34" s="13"/>
      <c r="E34" s="19">
        <f>SUM(E7,E12,E13,E14,E18)</f>
        <v>95423.5</v>
      </c>
      <c r="F34" s="13"/>
      <c r="G34" s="19">
        <f>SUM(G7,G12,G13,G14,G18)</f>
        <v>91729.5</v>
      </c>
      <c r="H34" s="43"/>
      <c r="I34" s="48">
        <f t="shared" si="0"/>
        <v>3694</v>
      </c>
    </row>
    <row r="35" spans="1:9" ht="18" customHeight="1">
      <c r="A35" s="2"/>
      <c r="B35" s="14" t="s">
        <v>53</v>
      </c>
      <c r="C35" s="12" t="s">
        <v>54</v>
      </c>
      <c r="D35" s="13"/>
      <c r="E35" s="16">
        <v>12000</v>
      </c>
      <c r="F35" s="13"/>
      <c r="G35" s="16">
        <v>13735</v>
      </c>
      <c r="H35" s="43"/>
      <c r="I35" s="45">
        <f t="shared" si="0"/>
        <v>-1735</v>
      </c>
    </row>
    <row r="36" spans="1:9" ht="18" customHeight="1">
      <c r="A36" s="2"/>
      <c r="B36" s="14" t="s">
        <v>55</v>
      </c>
      <c r="C36" s="12" t="s">
        <v>56</v>
      </c>
      <c r="D36" s="13"/>
      <c r="E36" s="16">
        <v>10000</v>
      </c>
      <c r="F36" s="13"/>
      <c r="G36" s="16">
        <v>10650</v>
      </c>
      <c r="H36" s="43"/>
      <c r="I36" s="45">
        <f t="shared" si="0"/>
        <v>-650</v>
      </c>
    </row>
    <row r="37" spans="1:9" ht="18" customHeight="1">
      <c r="A37" s="2"/>
      <c r="B37" s="14" t="s">
        <v>57</v>
      </c>
      <c r="C37" s="12" t="s">
        <v>58</v>
      </c>
      <c r="D37" s="13"/>
      <c r="E37" s="16">
        <v>990</v>
      </c>
      <c r="F37" s="13"/>
      <c r="G37" s="16">
        <v>960</v>
      </c>
      <c r="H37" s="43"/>
      <c r="I37" s="45">
        <f t="shared" si="0"/>
        <v>30</v>
      </c>
    </row>
    <row r="38" spans="1:9" ht="18" customHeight="1">
      <c r="A38" s="2"/>
      <c r="B38" s="14" t="s">
        <v>59</v>
      </c>
      <c r="C38" s="12" t="s">
        <v>60</v>
      </c>
      <c r="D38" s="13"/>
      <c r="E38" s="19">
        <f>SUM(E34,E35,E36,E37)</f>
        <v>118413.5</v>
      </c>
      <c r="F38" s="13"/>
      <c r="G38" s="19">
        <f>SUM(G34,G35,G36,G37)</f>
        <v>117074.5</v>
      </c>
      <c r="H38" s="43"/>
      <c r="I38" s="48">
        <f t="shared" si="0"/>
        <v>1339</v>
      </c>
    </row>
    <row r="39" spans="1:9" ht="18" customHeight="1">
      <c r="A39" s="2"/>
      <c r="B39" s="14" t="s">
        <v>61</v>
      </c>
      <c r="C39" s="12" t="s">
        <v>62</v>
      </c>
      <c r="D39" s="13"/>
      <c r="E39" s="16">
        <v>-2300</v>
      </c>
      <c r="F39" s="13"/>
      <c r="G39" s="16">
        <f>-1840-300</f>
        <v>-2140</v>
      </c>
      <c r="H39" s="43"/>
      <c r="I39" s="45">
        <f t="shared" si="0"/>
        <v>-160</v>
      </c>
    </row>
    <row r="40" spans="1:9" ht="18" customHeight="1">
      <c r="A40" s="2"/>
      <c r="B40" s="14" t="s">
        <v>63</v>
      </c>
      <c r="C40" s="12" t="s">
        <v>64</v>
      </c>
      <c r="D40" s="13"/>
      <c r="E40" s="19">
        <f>SUM(E38,E39)</f>
        <v>116113.5</v>
      </c>
      <c r="F40" s="13"/>
      <c r="G40" s="19">
        <f>SUM(G38,G39)</f>
        <v>114934.5</v>
      </c>
      <c r="H40" s="43"/>
      <c r="I40" s="48">
        <f t="shared" si="0"/>
        <v>1179</v>
      </c>
    </row>
    <row r="41" spans="1:9" ht="18" customHeight="1">
      <c r="A41" s="2"/>
      <c r="B41" s="14" t="s">
        <v>65</v>
      </c>
      <c r="C41" s="12" t="s">
        <v>66</v>
      </c>
      <c r="D41" s="13"/>
      <c r="E41" s="20">
        <f>SUM(E42,E43)</f>
        <v>2950</v>
      </c>
      <c r="F41" s="13"/>
      <c r="G41" s="20">
        <f>SUM(G42,G43)</f>
        <v>2915</v>
      </c>
      <c r="H41" s="43"/>
      <c r="I41" s="49">
        <f t="shared" si="0"/>
        <v>35</v>
      </c>
    </row>
    <row r="42" spans="1:9" ht="18" customHeight="1">
      <c r="A42" s="2"/>
      <c r="B42" s="14"/>
      <c r="C42" s="12" t="s">
        <v>67</v>
      </c>
      <c r="D42" s="13"/>
      <c r="E42" s="13">
        <v>2120</v>
      </c>
      <c r="F42" s="13"/>
      <c r="G42" s="13">
        <f>2020+65</f>
        <v>2085</v>
      </c>
      <c r="H42" s="43"/>
      <c r="I42" s="43">
        <f t="shared" si="0"/>
        <v>35</v>
      </c>
    </row>
    <row r="43" spans="1:9" ht="18" customHeight="1">
      <c r="A43" s="2"/>
      <c r="B43" s="14"/>
      <c r="C43" s="12" t="s">
        <v>68</v>
      </c>
      <c r="D43" s="13"/>
      <c r="E43" s="13">
        <f>725+105</f>
        <v>830</v>
      </c>
      <c r="F43" s="13"/>
      <c r="G43" s="13">
        <f>725+105</f>
        <v>830</v>
      </c>
      <c r="H43" s="43"/>
      <c r="I43" s="43">
        <f t="shared" si="0"/>
        <v>0</v>
      </c>
    </row>
    <row r="44" spans="1:9" s="25" customFormat="1" ht="18" customHeight="1">
      <c r="A44" s="21"/>
      <c r="B44" s="22" t="s">
        <v>69</v>
      </c>
      <c r="C44" s="23" t="s">
        <v>70</v>
      </c>
      <c r="D44" s="24"/>
      <c r="E44" s="24">
        <f>E40/E41</f>
        <v>39.36050847457627</v>
      </c>
      <c r="F44" s="24"/>
      <c r="G44" s="24">
        <f>G40/G41</f>
        <v>39.42864493996569</v>
      </c>
      <c r="H44" s="50"/>
      <c r="I44" s="61">
        <f t="shared" si="0"/>
        <v>-0.06813646538942209</v>
      </c>
    </row>
    <row r="45" spans="1:9" ht="18" customHeight="1">
      <c r="A45" s="2"/>
      <c r="B45" s="14" t="s">
        <v>71</v>
      </c>
      <c r="C45" s="12" t="s">
        <v>72</v>
      </c>
      <c r="D45" s="13"/>
      <c r="E45" s="26">
        <v>40.65</v>
      </c>
      <c r="F45" s="13"/>
      <c r="G45" s="26">
        <v>40.65</v>
      </c>
      <c r="H45" s="43"/>
      <c r="I45" s="62">
        <f t="shared" si="0"/>
        <v>0</v>
      </c>
    </row>
    <row r="46" spans="1:9" ht="18" customHeight="1">
      <c r="A46" s="2"/>
      <c r="B46" s="14"/>
      <c r="C46" s="12" t="s">
        <v>73</v>
      </c>
      <c r="D46" s="13"/>
      <c r="E46" s="26">
        <v>40.65</v>
      </c>
      <c r="F46" s="13"/>
      <c r="G46" s="26">
        <v>40.65</v>
      </c>
      <c r="H46" s="43"/>
      <c r="I46" s="62">
        <f t="shared" si="0"/>
        <v>0</v>
      </c>
    </row>
    <row r="47" spans="1:9" ht="18" customHeight="1">
      <c r="A47" s="2"/>
      <c r="B47" s="14" t="s">
        <v>74</v>
      </c>
      <c r="C47" s="12" t="s">
        <v>75</v>
      </c>
      <c r="D47" s="13"/>
      <c r="E47" s="26">
        <f>E45-E44</f>
        <v>1.2894915254237276</v>
      </c>
      <c r="F47" s="13"/>
      <c r="G47" s="26">
        <f>G45-G44</f>
        <v>1.2213550600343055</v>
      </c>
      <c r="H47" s="43"/>
      <c r="I47" s="62">
        <f t="shared" si="0"/>
        <v>0.06813646538942209</v>
      </c>
    </row>
    <row r="48" spans="1:9" ht="18" customHeight="1">
      <c r="A48" s="2"/>
      <c r="B48" s="14"/>
      <c r="C48" s="12" t="s">
        <v>76</v>
      </c>
      <c r="D48" s="13"/>
      <c r="E48" s="26">
        <f>E46-E44</f>
        <v>1.2894915254237276</v>
      </c>
      <c r="F48" s="13"/>
      <c r="G48" s="26">
        <f>G46-G44</f>
        <v>1.2213550600343055</v>
      </c>
      <c r="H48" s="43"/>
      <c r="I48" s="62">
        <f t="shared" si="0"/>
        <v>0.06813646538942209</v>
      </c>
    </row>
    <row r="49" spans="1:9" s="25" customFormat="1" ht="18" customHeight="1" thickBot="1">
      <c r="A49" s="21"/>
      <c r="B49" s="27" t="s">
        <v>77</v>
      </c>
      <c r="C49" s="28" t="s">
        <v>78</v>
      </c>
      <c r="D49" s="29"/>
      <c r="E49" s="30">
        <f>E50/E40</f>
        <v>0.03276104845689778</v>
      </c>
      <c r="F49" s="29"/>
      <c r="G49" s="30">
        <f>G50/G40</f>
        <v>0.030976338697258004</v>
      </c>
      <c r="H49" s="51"/>
      <c r="I49" s="63">
        <f t="shared" si="0"/>
        <v>0.0017847097596397736</v>
      </c>
    </row>
    <row r="50" spans="1:9" ht="18" customHeight="1" thickBot="1">
      <c r="A50" s="2"/>
      <c r="B50" s="31" t="s">
        <v>79</v>
      </c>
      <c r="C50" s="32" t="s">
        <v>80</v>
      </c>
      <c r="D50" s="33"/>
      <c r="E50" s="34">
        <f>((E45*E42+E46*E43)-E40)</f>
        <v>3804</v>
      </c>
      <c r="F50" s="33"/>
      <c r="G50" s="34">
        <f>((G45*G42+G46*G43)-G40)</f>
        <v>3560.25</v>
      </c>
      <c r="H50" s="52"/>
      <c r="I50" s="53">
        <f t="shared" si="0"/>
        <v>243.75</v>
      </c>
    </row>
    <row r="51" spans="1:9" ht="18" customHeight="1">
      <c r="A51" s="2"/>
      <c r="B51" s="2"/>
      <c r="C51" s="5"/>
      <c r="D51" s="4"/>
      <c r="E51" s="4">
        <v>3804</v>
      </c>
      <c r="F51" s="4"/>
      <c r="G51" s="4"/>
      <c r="H51" s="4"/>
      <c r="I51" s="4"/>
    </row>
    <row r="52" spans="1:9" ht="18" customHeight="1">
      <c r="A52" s="2"/>
      <c r="B52" s="2"/>
      <c r="C52" s="5"/>
      <c r="D52" s="4"/>
      <c r="E52" s="4"/>
      <c r="F52" s="4"/>
      <c r="G52" s="4"/>
      <c r="H52" s="4"/>
      <c r="I52" s="4"/>
    </row>
    <row r="53" spans="1:9" ht="18" customHeight="1">
      <c r="A53" s="2"/>
      <c r="B53" s="2" t="s">
        <v>81</v>
      </c>
      <c r="C53" s="5"/>
      <c r="D53" s="4" t="s">
        <v>82</v>
      </c>
      <c r="E53" s="4"/>
      <c r="F53" s="4"/>
      <c r="G53" s="4"/>
      <c r="H53" s="4"/>
      <c r="I53" s="4"/>
    </row>
    <row r="54" spans="1:9" ht="18" customHeight="1">
      <c r="A54" s="2"/>
      <c r="B54" s="2" t="s">
        <v>83</v>
      </c>
      <c r="C54" s="35" t="s">
        <v>92</v>
      </c>
      <c r="D54" s="4"/>
      <c r="E54" s="4"/>
      <c r="F54" s="4"/>
      <c r="G54" s="4"/>
      <c r="H54" s="4"/>
      <c r="I54" s="4"/>
    </row>
    <row r="55" spans="1:9" ht="18" customHeight="1">
      <c r="A55" s="2"/>
      <c r="B55" s="2"/>
      <c r="C55" s="35"/>
      <c r="D55" s="4"/>
      <c r="E55" s="4"/>
      <c r="F55" s="4"/>
      <c r="G55" s="4"/>
      <c r="H55" s="4"/>
      <c r="I55" s="4"/>
    </row>
    <row r="56" spans="1:9" ht="18" customHeight="1">
      <c r="A56" s="2"/>
      <c r="B56" s="2"/>
      <c r="C56" s="5"/>
      <c r="D56" s="4"/>
      <c r="E56" s="4"/>
      <c r="F56" s="4"/>
      <c r="G56" s="4"/>
      <c r="H56" s="4"/>
      <c r="I56" s="4"/>
    </row>
    <row r="57" spans="1:9" ht="12.75">
      <c r="A57" s="36"/>
      <c r="B57" s="1"/>
      <c r="C57" s="37"/>
      <c r="D57" s="38"/>
      <c r="E57" s="38"/>
      <c r="F57" s="38"/>
      <c r="G57" s="38"/>
      <c r="H57" s="38"/>
      <c r="I57" s="38"/>
    </row>
    <row r="58" spans="1:9" ht="12.75">
      <c r="A58" s="36"/>
      <c r="B58" s="1"/>
      <c r="C58" s="37"/>
      <c r="D58" s="38"/>
      <c r="E58" s="38"/>
      <c r="F58" s="38"/>
      <c r="G58" s="38"/>
      <c r="H58" s="38"/>
      <c r="I58" s="38"/>
    </row>
    <row r="59" spans="1:9" ht="12.75">
      <c r="A59" s="36"/>
      <c r="B59" s="1"/>
      <c r="C59" s="37"/>
      <c r="D59" s="38"/>
      <c r="E59" s="38"/>
      <c r="F59" s="38"/>
      <c r="G59" s="38"/>
      <c r="H59" s="38"/>
      <c r="I59" s="38"/>
    </row>
    <row r="60" spans="1:9" ht="12.75">
      <c r="A60" s="1"/>
      <c r="B60" s="1"/>
      <c r="C60" s="37"/>
      <c r="D60" s="38"/>
      <c r="E60" s="38"/>
      <c r="F60" s="38"/>
      <c r="G60" s="38"/>
      <c r="H60" s="38"/>
      <c r="I60" s="38"/>
    </row>
    <row r="61" spans="1:9" ht="12.75">
      <c r="A61" s="1"/>
      <c r="B61" s="1"/>
      <c r="C61" s="37"/>
      <c r="D61" s="38"/>
      <c r="E61" s="38"/>
      <c r="F61" s="38"/>
      <c r="G61" s="38"/>
      <c r="H61" s="38"/>
      <c r="I61" s="38"/>
    </row>
    <row r="62" spans="1:9" ht="51" customHeight="1">
      <c r="A62" s="1"/>
      <c r="B62" s="1"/>
      <c r="C62" s="37"/>
      <c r="D62" s="38"/>
      <c r="E62" s="38"/>
      <c r="F62" s="38"/>
      <c r="G62" s="38"/>
      <c r="H62" s="38"/>
      <c r="I62" s="38"/>
    </row>
    <row r="63" spans="1:9" ht="20.25">
      <c r="A63" s="1"/>
      <c r="B63" s="57" t="s">
        <v>84</v>
      </c>
      <c r="C63" s="57"/>
      <c r="D63" s="57"/>
      <c r="E63" s="57"/>
      <c r="F63"/>
      <c r="G63"/>
      <c r="H63"/>
      <c r="I63"/>
    </row>
    <row r="64" spans="1:9" ht="15">
      <c r="A64" s="1"/>
      <c r="B64" s="58" t="s">
        <v>1</v>
      </c>
      <c r="C64" s="58"/>
      <c r="D64" s="58"/>
      <c r="E64" s="58"/>
      <c r="F64"/>
      <c r="G64"/>
      <c r="H64"/>
      <c r="I64"/>
    </row>
    <row r="65" spans="1:9" ht="14.25">
      <c r="A65" s="2"/>
      <c r="B65" s="2"/>
      <c r="C65" s="5"/>
      <c r="D65" s="4"/>
      <c r="E65" s="4"/>
      <c r="F65" s="4"/>
      <c r="G65" s="4"/>
      <c r="H65" s="4"/>
      <c r="I65" s="4"/>
    </row>
    <row r="66" spans="1:9" ht="18" customHeight="1">
      <c r="A66" s="2"/>
      <c r="B66" s="2"/>
      <c r="C66" s="5"/>
      <c r="D66" s="4"/>
      <c r="E66" s="4"/>
      <c r="F66" s="4"/>
      <c r="G66" s="4"/>
      <c r="H66" s="4"/>
      <c r="I66" s="4"/>
    </row>
    <row r="67" spans="1:9" ht="18" customHeight="1">
      <c r="A67" s="2"/>
      <c r="B67" s="2"/>
      <c r="C67" s="6" t="s">
        <v>2</v>
      </c>
      <c r="D67" s="4"/>
      <c r="E67" s="4"/>
      <c r="F67" s="4"/>
      <c r="G67" s="4"/>
      <c r="H67" s="4"/>
      <c r="I67" s="4"/>
    </row>
    <row r="68" spans="1:13" ht="29.25" customHeight="1" thickBot="1">
      <c r="A68" s="2"/>
      <c r="B68" s="59"/>
      <c r="C68" s="59"/>
      <c r="D68" t="s">
        <v>85</v>
      </c>
      <c r="E68" t="s">
        <v>85</v>
      </c>
      <c r="F68" t="s">
        <v>3</v>
      </c>
      <c r="G68" t="s">
        <v>3</v>
      </c>
      <c r="H68" s="56" t="s">
        <v>91</v>
      </c>
      <c r="I68" s="56"/>
      <c r="J68" s="56" t="s">
        <v>93</v>
      </c>
      <c r="K68" s="56"/>
      <c r="L68" t="s">
        <v>85</v>
      </c>
      <c r="M68" t="s">
        <v>85</v>
      </c>
    </row>
    <row r="69" spans="1:13" ht="18" customHeight="1">
      <c r="A69" s="2"/>
      <c r="B69" s="7" t="s">
        <v>4</v>
      </c>
      <c r="C69" s="8" t="s">
        <v>5</v>
      </c>
      <c r="D69" s="9"/>
      <c r="E69" s="10">
        <f>SUM(E70:E73)</f>
        <v>6050</v>
      </c>
      <c r="F69" s="9"/>
      <c r="G69" s="10">
        <f>SUM(G70:G73)</f>
        <v>5600</v>
      </c>
      <c r="H69" s="41"/>
      <c r="I69" s="42">
        <f>E69-G69</f>
        <v>450</v>
      </c>
      <c r="J69" s="9"/>
      <c r="K69" s="10">
        <f>SUM(K70:K73)</f>
        <v>5200</v>
      </c>
      <c r="L69" s="9"/>
      <c r="M69" s="10">
        <f>SUM(M70:M73)</f>
        <v>5850</v>
      </c>
    </row>
    <row r="70" spans="1:13" ht="18" customHeight="1">
      <c r="A70" s="2"/>
      <c r="B70" s="11" t="s">
        <v>6</v>
      </c>
      <c r="C70" s="12" t="s">
        <v>7</v>
      </c>
      <c r="D70" s="13"/>
      <c r="E70" s="13">
        <v>1850</v>
      </c>
      <c r="F70" s="13"/>
      <c r="G70" s="13">
        <v>1750</v>
      </c>
      <c r="H70" s="43"/>
      <c r="I70" s="43">
        <f aca="true" t="shared" si="1" ref="I70:I112">E70-G70</f>
        <v>100</v>
      </c>
      <c r="J70" s="13"/>
      <c r="K70" s="13">
        <v>1700</v>
      </c>
      <c r="L70" s="13"/>
      <c r="M70" s="13">
        <v>1850</v>
      </c>
    </row>
    <row r="71" spans="1:13" ht="18" customHeight="1">
      <c r="A71" s="2"/>
      <c r="B71" s="11" t="s">
        <v>8</v>
      </c>
      <c r="C71" s="12" t="s">
        <v>9</v>
      </c>
      <c r="D71" s="13"/>
      <c r="E71" s="13"/>
      <c r="F71" s="13"/>
      <c r="G71" s="13"/>
      <c r="H71" s="43"/>
      <c r="I71" s="43">
        <f t="shared" si="1"/>
        <v>0</v>
      </c>
      <c r="J71" s="13"/>
      <c r="K71" s="13"/>
      <c r="L71" s="13"/>
      <c r="M71" s="13"/>
    </row>
    <row r="72" spans="1:13" ht="18" customHeight="1">
      <c r="A72" s="2"/>
      <c r="B72" s="11" t="s">
        <v>10</v>
      </c>
      <c r="C72" s="12" t="s">
        <v>11</v>
      </c>
      <c r="D72" s="13"/>
      <c r="E72" s="13"/>
      <c r="F72" s="13"/>
      <c r="G72" s="13"/>
      <c r="H72" s="43"/>
      <c r="I72" s="43">
        <f t="shared" si="1"/>
        <v>0</v>
      </c>
      <c r="J72" s="13"/>
      <c r="K72" s="13"/>
      <c r="L72" s="13"/>
      <c r="M72" s="13"/>
    </row>
    <row r="73" spans="1:13" ht="18" customHeight="1">
      <c r="A73" s="2"/>
      <c r="B73" s="11" t="s">
        <v>12</v>
      </c>
      <c r="C73" s="12" t="s">
        <v>86</v>
      </c>
      <c r="D73" s="13"/>
      <c r="E73" s="13">
        <v>4200</v>
      </c>
      <c r="F73" s="13"/>
      <c r="G73" s="13">
        <v>3850</v>
      </c>
      <c r="H73" s="43"/>
      <c r="I73" s="43">
        <f t="shared" si="1"/>
        <v>350</v>
      </c>
      <c r="J73" s="13"/>
      <c r="K73" s="13">
        <v>3500</v>
      </c>
      <c r="L73" s="13"/>
      <c r="M73" s="13">
        <v>4000</v>
      </c>
    </row>
    <row r="74" spans="1:13" ht="18" customHeight="1">
      <c r="A74" s="2"/>
      <c r="B74" s="14" t="s">
        <v>14</v>
      </c>
      <c r="C74" s="12" t="s">
        <v>15</v>
      </c>
      <c r="D74" s="15">
        <v>7600</v>
      </c>
      <c r="E74" s="16"/>
      <c r="F74" s="15">
        <v>7300</v>
      </c>
      <c r="G74" s="16"/>
      <c r="H74" s="44">
        <f aca="true" t="shared" si="2" ref="H74:H95">D74-F74</f>
        <v>300</v>
      </c>
      <c r="I74" s="45">
        <f t="shared" si="1"/>
        <v>0</v>
      </c>
      <c r="J74" s="15">
        <v>7150</v>
      </c>
      <c r="K74" s="16"/>
      <c r="L74" s="15">
        <v>7600</v>
      </c>
      <c r="M74" s="16"/>
    </row>
    <row r="75" spans="1:13" ht="18" customHeight="1">
      <c r="A75" s="2"/>
      <c r="B75" s="14" t="s">
        <v>16</v>
      </c>
      <c r="C75" s="12" t="s">
        <v>17</v>
      </c>
      <c r="D75" s="13"/>
      <c r="E75" s="16">
        <f>49686-1650</f>
        <v>48036</v>
      </c>
      <c r="F75" s="13"/>
      <c r="G75" s="16">
        <f>49435+2000</f>
        <v>51435</v>
      </c>
      <c r="H75" s="44">
        <f t="shared" si="2"/>
        <v>0</v>
      </c>
      <c r="I75" s="45">
        <f t="shared" si="1"/>
        <v>-3399</v>
      </c>
      <c r="J75" s="13"/>
      <c r="K75" s="16">
        <f>51435+2000</f>
        <v>53435</v>
      </c>
      <c r="L75" s="13"/>
      <c r="M75" s="16">
        <f>49686-1650</f>
        <v>48036</v>
      </c>
    </row>
    <row r="76" spans="1:13" ht="18" customHeight="1">
      <c r="A76" s="2"/>
      <c r="B76" s="14" t="s">
        <v>18</v>
      </c>
      <c r="C76" s="12" t="s">
        <v>19</v>
      </c>
      <c r="D76" s="13"/>
      <c r="E76" s="17">
        <f>SUM(E77:E79)</f>
        <v>23057</v>
      </c>
      <c r="F76" s="13"/>
      <c r="G76" s="17">
        <f>SUM(G77:G79)</f>
        <v>19881</v>
      </c>
      <c r="H76" s="44">
        <f t="shared" si="2"/>
        <v>0</v>
      </c>
      <c r="I76" s="46">
        <f t="shared" si="1"/>
        <v>3176</v>
      </c>
      <c r="J76" s="13"/>
      <c r="K76" s="17">
        <f>SUM(K77:K79)</f>
        <v>20715</v>
      </c>
      <c r="L76" s="13"/>
      <c r="M76" s="17">
        <f>SUM(M77:M79)</f>
        <v>22345</v>
      </c>
    </row>
    <row r="77" spans="1:13" ht="18" customHeight="1">
      <c r="A77" s="2"/>
      <c r="B77" s="11" t="s">
        <v>6</v>
      </c>
      <c r="C77" s="12" t="s">
        <v>20</v>
      </c>
      <c r="D77" s="13"/>
      <c r="E77" s="13">
        <f>3500+1650-400+485+68</f>
        <v>5303</v>
      </c>
      <c r="F77" s="13"/>
      <c r="G77" s="13">
        <v>2750</v>
      </c>
      <c r="H77" s="44">
        <f t="shared" si="2"/>
        <v>0</v>
      </c>
      <c r="I77" s="43">
        <f t="shared" si="1"/>
        <v>2553</v>
      </c>
      <c r="J77" s="13"/>
      <c r="K77" s="13">
        <f>5046+150+150+150</f>
        <v>5496</v>
      </c>
      <c r="L77" s="13"/>
      <c r="M77" s="13">
        <f>3500+1650-400</f>
        <v>4750</v>
      </c>
    </row>
    <row r="78" spans="1:13" ht="18" customHeight="1">
      <c r="A78" s="2"/>
      <c r="B78" s="11" t="s">
        <v>8</v>
      </c>
      <c r="C78" s="12" t="s">
        <v>21</v>
      </c>
      <c r="D78" s="13"/>
      <c r="E78" s="18">
        <f>D74+D88+D95+D93</f>
        <v>16154</v>
      </c>
      <c r="F78" s="13"/>
      <c r="G78" s="18">
        <f>F74+F88+F95+F93</f>
        <v>15631</v>
      </c>
      <c r="H78" s="44">
        <f t="shared" si="2"/>
        <v>0</v>
      </c>
      <c r="I78" s="47">
        <f t="shared" si="1"/>
        <v>523</v>
      </c>
      <c r="J78" s="13"/>
      <c r="K78" s="18">
        <f>J74+J88+J95+J93</f>
        <v>13850</v>
      </c>
      <c r="L78" s="13"/>
      <c r="M78" s="18">
        <f>L74+L88+L95+L93</f>
        <v>16095</v>
      </c>
    </row>
    <row r="79" spans="1:13" ht="18" customHeight="1">
      <c r="A79" s="2"/>
      <c r="B79" s="11" t="s">
        <v>10</v>
      </c>
      <c r="C79" s="12" t="s">
        <v>87</v>
      </c>
      <c r="D79" s="13"/>
      <c r="E79" s="13">
        <v>1600</v>
      </c>
      <c r="F79" s="13"/>
      <c r="G79" s="13">
        <v>1500</v>
      </c>
      <c r="H79" s="44">
        <f t="shared" si="2"/>
        <v>0</v>
      </c>
      <c r="I79" s="43">
        <f t="shared" si="1"/>
        <v>100</v>
      </c>
      <c r="J79" s="13"/>
      <c r="K79" s="13">
        <f>1129+95+95+50</f>
        <v>1369</v>
      </c>
      <c r="L79" s="13"/>
      <c r="M79" s="13">
        <v>1500</v>
      </c>
    </row>
    <row r="80" spans="1:13" ht="18" customHeight="1">
      <c r="A80" s="2"/>
      <c r="B80" s="14" t="s">
        <v>23</v>
      </c>
      <c r="C80" s="12" t="s">
        <v>24</v>
      </c>
      <c r="D80" s="13"/>
      <c r="E80" s="17">
        <f>SUM(E81:E95)+D86</f>
        <v>14940</v>
      </c>
      <c r="F80" s="13"/>
      <c r="G80" s="17">
        <f>SUM(G81:G95)+F86</f>
        <v>14640</v>
      </c>
      <c r="H80" s="44">
        <f t="shared" si="2"/>
        <v>0</v>
      </c>
      <c r="I80" s="46">
        <f t="shared" si="1"/>
        <v>300</v>
      </c>
      <c r="J80" s="13"/>
      <c r="K80" s="17">
        <f>SUM(K81:K95)+J86</f>
        <v>12752</v>
      </c>
      <c r="L80" s="13"/>
      <c r="M80" s="17">
        <f>SUM(M81:M95)+L86</f>
        <v>14590</v>
      </c>
    </row>
    <row r="81" spans="1:13" ht="18" customHeight="1">
      <c r="A81" s="2"/>
      <c r="B81" s="11" t="s">
        <v>6</v>
      </c>
      <c r="C81" s="12" t="s">
        <v>25</v>
      </c>
      <c r="D81" s="13"/>
      <c r="E81" s="13">
        <v>15</v>
      </c>
      <c r="F81" s="13"/>
      <c r="G81" s="13">
        <v>15</v>
      </c>
      <c r="H81" s="44">
        <f t="shared" si="2"/>
        <v>0</v>
      </c>
      <c r="I81" s="43">
        <f t="shared" si="1"/>
        <v>0</v>
      </c>
      <c r="J81" s="13"/>
      <c r="K81" s="13"/>
      <c r="L81" s="13"/>
      <c r="M81" s="13">
        <v>15</v>
      </c>
    </row>
    <row r="82" spans="1:13" ht="18" customHeight="1">
      <c r="A82" s="2"/>
      <c r="B82" s="11" t="s">
        <v>8</v>
      </c>
      <c r="C82" s="12" t="s">
        <v>26</v>
      </c>
      <c r="D82" s="13"/>
      <c r="E82" s="13">
        <v>50</v>
      </c>
      <c r="F82" s="13"/>
      <c r="G82" s="13">
        <v>50</v>
      </c>
      <c r="H82" s="44">
        <f t="shared" si="2"/>
        <v>0</v>
      </c>
      <c r="I82" s="43">
        <f t="shared" si="1"/>
        <v>0</v>
      </c>
      <c r="J82" s="13"/>
      <c r="K82" s="13">
        <v>20</v>
      </c>
      <c r="L82" s="13"/>
      <c r="M82" s="13">
        <v>50</v>
      </c>
    </row>
    <row r="83" spans="1:13" ht="18" customHeight="1">
      <c r="A83" s="2"/>
      <c r="B83" s="11" t="s">
        <v>10</v>
      </c>
      <c r="C83" s="12" t="s">
        <v>27</v>
      </c>
      <c r="D83" s="13"/>
      <c r="E83" s="13">
        <v>7850</v>
      </c>
      <c r="F83" s="13"/>
      <c r="G83" s="13">
        <v>8600</v>
      </c>
      <c r="H83" s="44">
        <f t="shared" si="2"/>
        <v>0</v>
      </c>
      <c r="I83" s="43">
        <f t="shared" si="1"/>
        <v>-750</v>
      </c>
      <c r="J83" s="13"/>
      <c r="K83" s="13">
        <v>8200</v>
      </c>
      <c r="L83" s="13"/>
      <c r="M83" s="13">
        <f>8600-850</f>
        <v>7750</v>
      </c>
    </row>
    <row r="84" spans="1:13" ht="18" customHeight="1">
      <c r="A84" s="2"/>
      <c r="B84" s="11" t="s">
        <v>12</v>
      </c>
      <c r="C84" s="12" t="s">
        <v>28</v>
      </c>
      <c r="D84" s="13"/>
      <c r="E84" s="13">
        <v>200</v>
      </c>
      <c r="F84" s="13"/>
      <c r="G84" s="13">
        <v>150</v>
      </c>
      <c r="H84" s="44">
        <f t="shared" si="2"/>
        <v>0</v>
      </c>
      <c r="I84" s="43">
        <f t="shared" si="1"/>
        <v>50</v>
      </c>
      <c r="J84" s="13"/>
      <c r="K84" s="13">
        <v>270</v>
      </c>
      <c r="L84" s="13"/>
      <c r="M84" s="13">
        <v>200</v>
      </c>
    </row>
    <row r="85" spans="1:13" ht="18" customHeight="1">
      <c r="A85" s="2"/>
      <c r="B85" s="11" t="s">
        <v>29</v>
      </c>
      <c r="C85" s="12" t="s">
        <v>30</v>
      </c>
      <c r="D85" s="13"/>
      <c r="E85" s="13">
        <v>55</v>
      </c>
      <c r="F85" s="13"/>
      <c r="G85" s="13">
        <v>55</v>
      </c>
      <c r="H85" s="44">
        <f t="shared" si="2"/>
        <v>0</v>
      </c>
      <c r="I85" s="43">
        <f t="shared" si="1"/>
        <v>0</v>
      </c>
      <c r="J85" s="13"/>
      <c r="K85" s="13"/>
      <c r="L85" s="13"/>
      <c r="M85" s="13">
        <v>55</v>
      </c>
    </row>
    <row r="86" spans="1:13" ht="18" customHeight="1">
      <c r="A86" s="2"/>
      <c r="B86" s="11" t="s">
        <v>31</v>
      </c>
      <c r="C86" s="12" t="s">
        <v>32</v>
      </c>
      <c r="D86" s="13"/>
      <c r="E86" s="13">
        <v>2600</v>
      </c>
      <c r="F86" s="13"/>
      <c r="G86" s="13">
        <v>1850</v>
      </c>
      <c r="H86" s="44">
        <f t="shared" si="2"/>
        <v>0</v>
      </c>
      <c r="I86" s="43">
        <f t="shared" si="1"/>
        <v>750</v>
      </c>
      <c r="J86" s="13"/>
      <c r="K86" s="13">
        <v>1150</v>
      </c>
      <c r="L86" s="13"/>
      <c r="M86" s="13">
        <v>2500</v>
      </c>
    </row>
    <row r="87" spans="1:13" ht="18" customHeight="1">
      <c r="A87" s="2"/>
      <c r="B87" s="11" t="s">
        <v>33</v>
      </c>
      <c r="C87" s="12" t="s">
        <v>34</v>
      </c>
      <c r="D87" s="13"/>
      <c r="E87" s="13">
        <v>500</v>
      </c>
      <c r="F87" s="13"/>
      <c r="G87" s="13">
        <v>500</v>
      </c>
      <c r="H87" s="44">
        <f t="shared" si="2"/>
        <v>0</v>
      </c>
      <c r="I87" s="43">
        <f t="shared" si="1"/>
        <v>0</v>
      </c>
      <c r="J87" s="13"/>
      <c r="K87" s="13">
        <v>200</v>
      </c>
      <c r="L87" s="13"/>
      <c r="M87" s="13">
        <v>500</v>
      </c>
    </row>
    <row r="88" spans="1:13" ht="18" customHeight="1">
      <c r="A88" s="2"/>
      <c r="B88" s="11" t="s">
        <v>35</v>
      </c>
      <c r="C88" s="12" t="s">
        <v>36</v>
      </c>
      <c r="D88" s="13">
        <v>2584</v>
      </c>
      <c r="E88" s="13"/>
      <c r="F88" s="13">
        <v>2481</v>
      </c>
      <c r="G88" s="13"/>
      <c r="H88" s="44">
        <f t="shared" si="2"/>
        <v>103</v>
      </c>
      <c r="I88" s="43">
        <f t="shared" si="1"/>
        <v>0</v>
      </c>
      <c r="J88" s="13">
        <v>2430</v>
      </c>
      <c r="K88" s="13"/>
      <c r="L88" s="13">
        <v>2585</v>
      </c>
      <c r="M88" s="13"/>
    </row>
    <row r="89" spans="1:13" ht="18" customHeight="1">
      <c r="A89" s="2"/>
      <c r="B89" s="11" t="s">
        <v>37</v>
      </c>
      <c r="C89" s="12" t="s">
        <v>38</v>
      </c>
      <c r="D89" s="15"/>
      <c r="E89" s="13">
        <v>20</v>
      </c>
      <c r="F89" s="15"/>
      <c r="G89" s="13">
        <v>20</v>
      </c>
      <c r="H89" s="44">
        <f t="shared" si="2"/>
        <v>0</v>
      </c>
      <c r="I89" s="43">
        <f t="shared" si="1"/>
        <v>0</v>
      </c>
      <c r="J89" s="15"/>
      <c r="K89" s="13">
        <v>2</v>
      </c>
      <c r="L89" s="15"/>
      <c r="M89" s="13">
        <v>20</v>
      </c>
    </row>
    <row r="90" spans="1:13" ht="18" customHeight="1">
      <c r="A90" s="2"/>
      <c r="B90" s="11" t="s">
        <v>39</v>
      </c>
      <c r="C90" s="12" t="s">
        <v>88</v>
      </c>
      <c r="D90" s="13"/>
      <c r="E90" s="13">
        <v>450</v>
      </c>
      <c r="F90" s="13"/>
      <c r="G90" s="13">
        <v>450</v>
      </c>
      <c r="H90" s="44">
        <f t="shared" si="2"/>
        <v>0</v>
      </c>
      <c r="I90" s="43">
        <f t="shared" si="1"/>
        <v>0</v>
      </c>
      <c r="J90" s="13"/>
      <c r="K90" s="13">
        <v>410</v>
      </c>
      <c r="L90" s="13"/>
      <c r="M90" s="13">
        <v>450</v>
      </c>
    </row>
    <row r="91" spans="1:13" ht="18" customHeight="1">
      <c r="A91" s="2"/>
      <c r="B91" s="11" t="s">
        <v>41</v>
      </c>
      <c r="C91" s="12" t="s">
        <v>42</v>
      </c>
      <c r="D91" s="13"/>
      <c r="E91" s="13"/>
      <c r="F91" s="13"/>
      <c r="G91" s="13"/>
      <c r="H91" s="44">
        <f t="shared" si="2"/>
        <v>0</v>
      </c>
      <c r="I91" s="43">
        <f t="shared" si="1"/>
        <v>0</v>
      </c>
      <c r="J91" s="13"/>
      <c r="K91" s="13"/>
      <c r="L91" s="13"/>
      <c r="M91" s="13"/>
    </row>
    <row r="92" spans="1:13" ht="18" customHeight="1">
      <c r="A92" s="2"/>
      <c r="B92" s="11" t="s">
        <v>43</v>
      </c>
      <c r="C92" s="12" t="s">
        <v>44</v>
      </c>
      <c r="D92" s="13"/>
      <c r="E92" s="13">
        <v>1600</v>
      </c>
      <c r="F92" s="13"/>
      <c r="G92" s="13">
        <v>1550</v>
      </c>
      <c r="H92" s="44">
        <f t="shared" si="2"/>
        <v>0</v>
      </c>
      <c r="I92" s="43">
        <f t="shared" si="1"/>
        <v>50</v>
      </c>
      <c r="J92" s="13"/>
      <c r="K92" s="13">
        <v>1350</v>
      </c>
      <c r="L92" s="13"/>
      <c r="M92" s="13">
        <v>1600</v>
      </c>
    </row>
    <row r="93" spans="1:13" ht="18" customHeight="1">
      <c r="A93" s="2"/>
      <c r="B93" s="11" t="s">
        <v>45</v>
      </c>
      <c r="C93" s="12" t="s">
        <v>46</v>
      </c>
      <c r="D93" s="15">
        <v>980</v>
      </c>
      <c r="E93" s="13"/>
      <c r="F93" s="15">
        <v>900</v>
      </c>
      <c r="G93" s="13"/>
      <c r="H93" s="44">
        <f t="shared" si="2"/>
        <v>80</v>
      </c>
      <c r="I93" s="43">
        <f t="shared" si="1"/>
        <v>0</v>
      </c>
      <c r="J93" s="15">
        <v>670</v>
      </c>
      <c r="K93" s="13"/>
      <c r="L93" s="15">
        <v>920</v>
      </c>
      <c r="M93" s="13"/>
    </row>
    <row r="94" spans="1:13" ht="18" customHeight="1">
      <c r="A94" s="2"/>
      <c r="B94" s="11" t="s">
        <v>47</v>
      </c>
      <c r="C94" s="12" t="s">
        <v>48</v>
      </c>
      <c r="D94" s="15"/>
      <c r="E94" s="13">
        <v>1600</v>
      </c>
      <c r="F94" s="15"/>
      <c r="G94" s="13">
        <v>1400</v>
      </c>
      <c r="H94" s="44">
        <f t="shared" si="2"/>
        <v>0</v>
      </c>
      <c r="I94" s="43">
        <f t="shared" si="1"/>
        <v>200</v>
      </c>
      <c r="J94" s="15"/>
      <c r="K94" s="13">
        <v>1150</v>
      </c>
      <c r="L94" s="15"/>
      <c r="M94" s="13">
        <v>1450</v>
      </c>
    </row>
    <row r="95" spans="1:13" ht="18" customHeight="1">
      <c r="A95" s="2"/>
      <c r="B95" s="11" t="s">
        <v>49</v>
      </c>
      <c r="C95" s="12" t="s">
        <v>50</v>
      </c>
      <c r="D95" s="13">
        <v>4990</v>
      </c>
      <c r="E95" s="13"/>
      <c r="F95" s="13">
        <v>4950</v>
      </c>
      <c r="G95" s="13"/>
      <c r="H95" s="44">
        <f t="shared" si="2"/>
        <v>40</v>
      </c>
      <c r="I95" s="43">
        <f t="shared" si="1"/>
        <v>0</v>
      </c>
      <c r="J95" s="13">
        <v>3600</v>
      </c>
      <c r="K95" s="13"/>
      <c r="L95" s="13">
        <v>4990</v>
      </c>
      <c r="M95" s="13"/>
    </row>
    <row r="96" spans="1:13" ht="18" customHeight="1">
      <c r="A96" s="2"/>
      <c r="B96" s="14" t="s">
        <v>51</v>
      </c>
      <c r="C96" s="12" t="s">
        <v>52</v>
      </c>
      <c r="D96" s="13"/>
      <c r="E96" s="19">
        <f>SUM(E69,E74,E75,E76,E80)</f>
        <v>92083</v>
      </c>
      <c r="F96" s="13"/>
      <c r="G96" s="19">
        <f>SUM(G69,G74,G75,G76,G80)</f>
        <v>91556</v>
      </c>
      <c r="H96" s="43"/>
      <c r="I96" s="48">
        <f t="shared" si="1"/>
        <v>527</v>
      </c>
      <c r="J96" s="13"/>
      <c r="K96" s="19">
        <f>SUM(K69,K74,K75,K76,K80)</f>
        <v>92102</v>
      </c>
      <c r="L96" s="13"/>
      <c r="M96" s="19">
        <f>SUM(M69,M74,M75,M76,M80)</f>
        <v>90821</v>
      </c>
    </row>
    <row r="97" spans="1:13" ht="18" customHeight="1">
      <c r="A97" s="2"/>
      <c r="B97" s="14" t="s">
        <v>53</v>
      </c>
      <c r="C97" s="12" t="s">
        <v>54</v>
      </c>
      <c r="D97" s="13"/>
      <c r="E97" s="16">
        <v>6565</v>
      </c>
      <c r="F97" s="13"/>
      <c r="G97" s="16">
        <v>6540</v>
      </c>
      <c r="H97" s="43"/>
      <c r="I97" s="45">
        <f t="shared" si="1"/>
        <v>25</v>
      </c>
      <c r="J97" s="13"/>
      <c r="K97" s="16">
        <f>ROUND(J74*0.9+(K74*0.5),0)</f>
        <v>6435</v>
      </c>
      <c r="L97" s="13"/>
      <c r="M97" s="16">
        <v>6565</v>
      </c>
    </row>
    <row r="98" spans="1:13" ht="18" customHeight="1">
      <c r="A98" s="2"/>
      <c r="B98" s="14" t="s">
        <v>55</v>
      </c>
      <c r="C98" s="12" t="s">
        <v>56</v>
      </c>
      <c r="D98" s="13"/>
      <c r="E98" s="16">
        <v>6000</v>
      </c>
      <c r="F98" s="13"/>
      <c r="G98" s="16">
        <v>6400</v>
      </c>
      <c r="H98" s="43"/>
      <c r="I98" s="45">
        <f t="shared" si="1"/>
        <v>-400</v>
      </c>
      <c r="J98" s="13"/>
      <c r="K98" s="16">
        <f>ROUND(J74*0.82,0)</f>
        <v>5863</v>
      </c>
      <c r="L98" s="13"/>
      <c r="M98" s="16">
        <v>6000</v>
      </c>
    </row>
    <row r="99" spans="1:13" ht="18" customHeight="1">
      <c r="A99" s="2"/>
      <c r="B99" s="14" t="s">
        <v>57</v>
      </c>
      <c r="C99" s="12" t="s">
        <v>58</v>
      </c>
      <c r="D99" s="13"/>
      <c r="E99" s="16">
        <v>160</v>
      </c>
      <c r="F99" s="13"/>
      <c r="G99" s="16">
        <v>130</v>
      </c>
      <c r="H99" s="43"/>
      <c r="I99" s="45">
        <f t="shared" si="1"/>
        <v>30</v>
      </c>
      <c r="J99" s="13"/>
      <c r="K99" s="16">
        <f>ROUND((K79+K82+K70)*0.09,0)</f>
        <v>278</v>
      </c>
      <c r="L99" s="13"/>
      <c r="M99" s="16">
        <v>160</v>
      </c>
    </row>
    <row r="100" spans="1:13" ht="18" customHeight="1">
      <c r="A100" s="2"/>
      <c r="B100" s="14" t="s">
        <v>59</v>
      </c>
      <c r="C100" s="12" t="s">
        <v>60</v>
      </c>
      <c r="D100" s="13"/>
      <c r="E100" s="19">
        <f>SUM(E96,E97,E98,E99)</f>
        <v>104808</v>
      </c>
      <c r="F100" s="13"/>
      <c r="G100" s="19">
        <f>SUM(G96,G97,G98,G99)</f>
        <v>104626</v>
      </c>
      <c r="H100" s="43"/>
      <c r="I100" s="48">
        <f t="shared" si="1"/>
        <v>182</v>
      </c>
      <c r="J100" s="13"/>
      <c r="K100" s="19">
        <f>SUM(K96,K97,K98,K99)</f>
        <v>104678</v>
      </c>
      <c r="L100" s="13"/>
      <c r="M100" s="19">
        <f>SUM(M96,M97,M98,M99)</f>
        <v>103546</v>
      </c>
    </row>
    <row r="101" spans="1:13" ht="18" customHeight="1">
      <c r="A101" s="2"/>
      <c r="B101" s="14" t="s">
        <v>61</v>
      </c>
      <c r="C101" s="12" t="s">
        <v>89</v>
      </c>
      <c r="D101" s="13"/>
      <c r="E101" s="16">
        <f>-250</f>
        <v>-250</v>
      </c>
      <c r="F101" s="13"/>
      <c r="G101" s="16">
        <f>-250</f>
        <v>-250</v>
      </c>
      <c r="H101" s="43"/>
      <c r="I101" s="45">
        <f t="shared" si="1"/>
        <v>0</v>
      </c>
      <c r="J101" s="13"/>
      <c r="K101" s="16">
        <v>-300</v>
      </c>
      <c r="L101" s="13"/>
      <c r="M101" s="16">
        <f>-250</f>
        <v>-250</v>
      </c>
    </row>
    <row r="102" spans="1:13" ht="18" customHeight="1">
      <c r="A102" s="2"/>
      <c r="B102" s="14" t="s">
        <v>63</v>
      </c>
      <c r="C102" s="12" t="s">
        <v>64</v>
      </c>
      <c r="D102" s="13"/>
      <c r="E102" s="19">
        <f>SUM(E100,E101)</f>
        <v>104558</v>
      </c>
      <c r="F102" s="13"/>
      <c r="G102" s="19">
        <f>SUM(G100,G101)</f>
        <v>104376</v>
      </c>
      <c r="H102" s="43"/>
      <c r="I102" s="48">
        <f t="shared" si="1"/>
        <v>182</v>
      </c>
      <c r="J102" s="13"/>
      <c r="K102" s="19">
        <f>SUM(K100,K101)</f>
        <v>104378</v>
      </c>
      <c r="L102" s="13"/>
      <c r="M102" s="19">
        <f>SUM(M100,M101)</f>
        <v>103296</v>
      </c>
    </row>
    <row r="103" spans="1:13" ht="18" customHeight="1">
      <c r="A103" s="2"/>
      <c r="B103" s="14" t="s">
        <v>65</v>
      </c>
      <c r="C103" s="12" t="s">
        <v>90</v>
      </c>
      <c r="D103" s="13"/>
      <c r="E103" s="20">
        <f>SUM(E104,E105)</f>
        <v>2630</v>
      </c>
      <c r="F103" s="13"/>
      <c r="G103" s="20">
        <f>SUM(G104,G105)</f>
        <v>2651</v>
      </c>
      <c r="H103" s="43"/>
      <c r="I103" s="49">
        <f t="shared" si="1"/>
        <v>-21</v>
      </c>
      <c r="J103" s="13"/>
      <c r="K103" s="20">
        <f>SUM(K104,K105)</f>
        <v>2675</v>
      </c>
      <c r="L103" s="13"/>
      <c r="M103" s="20">
        <f>SUM(M104,M105)</f>
        <v>2630</v>
      </c>
    </row>
    <row r="104" spans="1:13" ht="18" customHeight="1">
      <c r="A104" s="2"/>
      <c r="B104" s="14"/>
      <c r="C104" s="12" t="s">
        <v>67</v>
      </c>
      <c r="D104" s="13"/>
      <c r="E104" s="13">
        <v>1600</v>
      </c>
      <c r="F104" s="13"/>
      <c r="G104" s="13">
        <f>1530+64</f>
        <v>1594</v>
      </c>
      <c r="H104" s="43"/>
      <c r="I104" s="43">
        <f t="shared" si="1"/>
        <v>6</v>
      </c>
      <c r="J104" s="13"/>
      <c r="K104" s="13">
        <v>1635</v>
      </c>
      <c r="L104" s="13"/>
      <c r="M104" s="13">
        <v>1600</v>
      </c>
    </row>
    <row r="105" spans="1:13" ht="18" customHeight="1">
      <c r="A105" s="2"/>
      <c r="B105" s="14"/>
      <c r="C105" s="12" t="s">
        <v>68</v>
      </c>
      <c r="D105" s="13"/>
      <c r="E105" s="13">
        <v>1030</v>
      </c>
      <c r="F105" s="13"/>
      <c r="G105" s="13">
        <f>1035+22</f>
        <v>1057</v>
      </c>
      <c r="H105" s="43"/>
      <c r="I105" s="43">
        <f t="shared" si="1"/>
        <v>-27</v>
      </c>
      <c r="J105" s="13"/>
      <c r="K105" s="13">
        <v>1040</v>
      </c>
      <c r="L105" s="13"/>
      <c r="M105" s="13">
        <v>1030</v>
      </c>
    </row>
    <row r="106" spans="1:13" ht="18" customHeight="1">
      <c r="A106" s="2"/>
      <c r="B106" s="22" t="s">
        <v>69</v>
      </c>
      <c r="C106" s="23" t="s">
        <v>70</v>
      </c>
      <c r="D106" s="24"/>
      <c r="E106" s="24">
        <f>E102/E103</f>
        <v>39.755893536121675</v>
      </c>
      <c r="F106" s="24"/>
      <c r="G106" s="24">
        <f>G102/G103</f>
        <v>39.37231233496794</v>
      </c>
      <c r="H106" s="50"/>
      <c r="I106" s="61">
        <f t="shared" si="1"/>
        <v>0.3835812011537385</v>
      </c>
      <c r="J106" s="24"/>
      <c r="K106" s="24">
        <f>K102/K103</f>
        <v>39.01981308411215</v>
      </c>
      <c r="L106" s="24"/>
      <c r="M106" s="24">
        <f>M102/M103</f>
        <v>39.276045627376426</v>
      </c>
    </row>
    <row r="107" spans="1:13" ht="18" customHeight="1">
      <c r="A107" s="2"/>
      <c r="B107" s="14" t="s">
        <v>71</v>
      </c>
      <c r="C107" s="12" t="s">
        <v>72</v>
      </c>
      <c r="D107" s="13"/>
      <c r="E107" s="26">
        <v>41.08</v>
      </c>
      <c r="F107" s="13"/>
      <c r="G107" s="26">
        <v>40.6</v>
      </c>
      <c r="H107" s="43"/>
      <c r="I107" s="62">
        <f t="shared" si="1"/>
        <v>0.4799999999999969</v>
      </c>
      <c r="J107" s="13"/>
      <c r="K107" s="26">
        <v>40.6</v>
      </c>
      <c r="L107" s="13"/>
      <c r="M107" s="26">
        <v>40.6</v>
      </c>
    </row>
    <row r="108" spans="1:13" ht="18" customHeight="1">
      <c r="A108" s="2"/>
      <c r="B108" s="14"/>
      <c r="C108" s="12" t="s">
        <v>73</v>
      </c>
      <c r="D108" s="13"/>
      <c r="E108" s="26">
        <v>41.08</v>
      </c>
      <c r="F108" s="13"/>
      <c r="G108" s="26">
        <v>40.6</v>
      </c>
      <c r="H108" s="43"/>
      <c r="I108" s="62">
        <f t="shared" si="1"/>
        <v>0.4799999999999969</v>
      </c>
      <c r="J108" s="13"/>
      <c r="K108" s="26">
        <f>K107</f>
        <v>40.6</v>
      </c>
      <c r="L108" s="13"/>
      <c r="M108" s="26">
        <v>40.6</v>
      </c>
    </row>
    <row r="109" spans="1:13" ht="18" customHeight="1">
      <c r="A109" s="2"/>
      <c r="B109" s="14" t="s">
        <v>74</v>
      </c>
      <c r="C109" s="12" t="s">
        <v>75</v>
      </c>
      <c r="D109" s="13"/>
      <c r="E109" s="26">
        <f>E107-E106</f>
        <v>1.3241064638783229</v>
      </c>
      <c r="F109" s="13"/>
      <c r="G109" s="26">
        <f>G107-G106</f>
        <v>1.2276876650320645</v>
      </c>
      <c r="H109" s="43"/>
      <c r="I109" s="62">
        <f t="shared" si="1"/>
        <v>0.09641879884625837</v>
      </c>
      <c r="J109" s="13"/>
      <c r="K109" s="26">
        <f>K107-K106</f>
        <v>1.5801869158878503</v>
      </c>
      <c r="L109" s="13"/>
      <c r="M109" s="26">
        <f>M107-M106</f>
        <v>1.3239543726235752</v>
      </c>
    </row>
    <row r="110" spans="1:13" ht="18" customHeight="1">
      <c r="A110" s="2"/>
      <c r="B110" s="14"/>
      <c r="C110" s="12" t="s">
        <v>76</v>
      </c>
      <c r="D110" s="13"/>
      <c r="E110" s="26">
        <f>E108-E106</f>
        <v>1.3241064638783229</v>
      </c>
      <c r="F110" s="13"/>
      <c r="G110" s="26">
        <f>G108-G106</f>
        <v>1.2276876650320645</v>
      </c>
      <c r="H110" s="43"/>
      <c r="I110" s="62">
        <f t="shared" si="1"/>
        <v>0.09641879884625837</v>
      </c>
      <c r="J110" s="13"/>
      <c r="K110" s="26">
        <f>K108-K106</f>
        <v>1.5801869158878503</v>
      </c>
      <c r="L110" s="13"/>
      <c r="M110" s="26">
        <f>M108-M106</f>
        <v>1.3239543726235752</v>
      </c>
    </row>
    <row r="111" spans="1:13" ht="18" customHeight="1" thickBot="1">
      <c r="A111" s="2"/>
      <c r="B111" s="27" t="s">
        <v>77</v>
      </c>
      <c r="C111" s="28" t="s">
        <v>78</v>
      </c>
      <c r="D111" s="29"/>
      <c r="E111" s="30">
        <f>E112/E102</f>
        <v>0.03330591633351818</v>
      </c>
      <c r="F111" s="29"/>
      <c r="G111" s="30">
        <f>G112/G102</f>
        <v>0.031181497662297903</v>
      </c>
      <c r="H111" s="51"/>
      <c r="I111" s="63">
        <f t="shared" si="1"/>
        <v>0.00212441867122028</v>
      </c>
      <c r="J111" s="29"/>
      <c r="K111" s="30">
        <f>K112/K102</f>
        <v>0.04049703960604725</v>
      </c>
      <c r="L111" s="29"/>
      <c r="M111" s="30">
        <f>M112/M102</f>
        <v>0.03370895291201983</v>
      </c>
    </row>
    <row r="112" spans="1:13" ht="18" customHeight="1" thickBot="1">
      <c r="A112" s="2"/>
      <c r="B112" s="31" t="s">
        <v>79</v>
      </c>
      <c r="C112" s="32" t="s">
        <v>80</v>
      </c>
      <c r="D112" s="33"/>
      <c r="E112" s="34">
        <f>((E107*E104+E108*E105)-E102)</f>
        <v>3482.399999999994</v>
      </c>
      <c r="F112" s="33"/>
      <c r="G112" s="34">
        <f>((G107*G104+G108*G105)-G102)</f>
        <v>3254.600000000006</v>
      </c>
      <c r="H112" s="52"/>
      <c r="I112" s="53">
        <f t="shared" si="1"/>
        <v>227.79999999998836</v>
      </c>
      <c r="J112" s="33"/>
      <c r="K112" s="34">
        <f>((K107*K104+K108*K105)-K102)</f>
        <v>4227</v>
      </c>
      <c r="L112" s="33"/>
      <c r="M112" s="34">
        <f>((M107*M104+M108*M105)-M102)</f>
        <v>3482</v>
      </c>
    </row>
    <row r="113" spans="1:11" ht="18" customHeight="1">
      <c r="A113" s="2"/>
      <c r="B113" s="2"/>
      <c r="C113" s="5"/>
      <c r="D113" s="4"/>
      <c r="E113" s="4">
        <v>3482</v>
      </c>
      <c r="F113" s="4">
        <v>1262</v>
      </c>
      <c r="G113" s="4"/>
      <c r="H113" s="4"/>
      <c r="I113" s="4"/>
      <c r="J113" s="54"/>
      <c r="K113" s="55"/>
    </row>
    <row r="114" spans="1:9" s="39" customFormat="1" ht="18" customHeight="1">
      <c r="A114" s="2"/>
      <c r="B114" s="2"/>
      <c r="C114" s="5"/>
      <c r="D114" s="4"/>
      <c r="E114" s="4"/>
      <c r="F114" s="4"/>
      <c r="G114" s="4"/>
      <c r="H114" s="4"/>
      <c r="I114" s="4"/>
    </row>
    <row r="115" spans="1:9" s="39" customFormat="1" ht="18" customHeight="1">
      <c r="A115" s="2"/>
      <c r="B115" s="2"/>
      <c r="C115" s="5"/>
      <c r="D115" s="4"/>
      <c r="E115" s="4"/>
      <c r="F115" s="4"/>
      <c r="G115" s="4"/>
      <c r="H115" s="4"/>
      <c r="I115" s="4"/>
    </row>
    <row r="116" spans="1:9" s="39" customFormat="1" ht="18" customHeight="1">
      <c r="A116" s="2"/>
      <c r="B116" s="2" t="s">
        <v>81</v>
      </c>
      <c r="C116" s="5"/>
      <c r="D116" s="4" t="s">
        <v>82</v>
      </c>
      <c r="E116" s="4"/>
      <c r="F116" s="4"/>
      <c r="G116" s="4"/>
      <c r="H116" s="4"/>
      <c r="I116" s="4"/>
    </row>
    <row r="117" spans="1:9" s="39" customFormat="1" ht="18" customHeight="1">
      <c r="A117" s="2"/>
      <c r="B117" s="2" t="s">
        <v>83</v>
      </c>
      <c r="C117" s="35" t="s">
        <v>92</v>
      </c>
      <c r="D117" s="4"/>
      <c r="E117" s="4"/>
      <c r="F117" s="4"/>
      <c r="G117" s="4"/>
      <c r="H117" s="4"/>
      <c r="I117" s="4"/>
    </row>
    <row r="118" spans="1:9" s="39" customFormat="1" ht="18" customHeight="1">
      <c r="A118" s="2"/>
      <c r="B118" s="2"/>
      <c r="C118" s="5"/>
      <c r="D118" s="4"/>
      <c r="E118" s="4"/>
      <c r="F118" s="4"/>
      <c r="G118" s="4"/>
      <c r="H118" s="4"/>
      <c r="I118" s="4"/>
    </row>
  </sheetData>
  <sheetProtection/>
  <mergeCells count="9">
    <mergeCell ref="J68:K68"/>
    <mergeCell ref="H6:I6"/>
    <mergeCell ref="H68:I68"/>
    <mergeCell ref="B1:E1"/>
    <mergeCell ref="B2:E2"/>
    <mergeCell ref="B63:E63"/>
    <mergeCell ref="B64:E64"/>
    <mergeCell ref="B68:C68"/>
    <mergeCell ref="B6:C6"/>
  </mergeCells>
  <printOptions horizontalCentered="1"/>
  <pageMargins left="0" right="0" top="0.1968503937007874" bottom="0.3937007874015748" header="0.5118110236220472" footer="0.5118110236220472"/>
  <pageSetup fitToHeight="2" fitToWidth="1" horizontalDpi="600" verticalDpi="600" orientation="portrait" paperSize="9" scale="71" r:id="rId3"/>
  <rowBreaks count="2" manualBreakCount="2">
    <brk id="54" max="65535" man="1"/>
    <brk id="55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reditel</cp:lastModifiedBy>
  <cp:lastPrinted>2016-11-09T11:00:41Z</cp:lastPrinted>
  <dcterms:created xsi:type="dcterms:W3CDTF">2016-10-18T08:57:02Z</dcterms:created>
  <dcterms:modified xsi:type="dcterms:W3CDTF">2016-11-14T06:37:22Z</dcterms:modified>
  <cp:category/>
  <cp:version/>
  <cp:contentType/>
  <cp:contentStatus/>
</cp:coreProperties>
</file>